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补货模板" sheetId="14" r:id="rId1"/>
    <sheet name="14天销售" sheetId="23" r:id="rId2"/>
    <sheet name="7天销售" sheetId="21" r:id="rId3"/>
    <sheet name="30天销售" sheetId="19" r:id="rId4"/>
    <sheet name="亚马逊库存" sheetId="24" r:id="rId5"/>
    <sheet name="Sheet1" sheetId="1" state="hidden" r:id="rId6"/>
    <sheet name="Sheet4" sheetId="4" state="hidden" r:id="rId7"/>
    <sheet name="Sheet2" sheetId="6" state="hidden" r:id="rId8"/>
  </sheets>
  <definedNames>
    <definedName name="_xlnm._FilterDatabase" localSheetId="3" hidden="1">'30天销售'!#REF!</definedName>
  </definedNames>
  <calcPr calcId="144525"/>
</workbook>
</file>

<file path=xl/sharedStrings.xml><?xml version="1.0" encoding="utf-8"?>
<sst xmlns="http://schemas.openxmlformats.org/spreadsheetml/2006/main" count="355" uniqueCount="134">
  <si>
    <t>时间：</t>
  </si>
  <si>
    <t>申请人：</t>
  </si>
  <si>
    <t>美国站</t>
  </si>
  <si>
    <t>英国站</t>
  </si>
  <si>
    <t>图片</t>
  </si>
  <si>
    <t>SKU</t>
  </si>
  <si>
    <t>本地库存</t>
  </si>
  <si>
    <t>FBA库存</t>
  </si>
  <si>
    <t>路上库存</t>
  </si>
  <si>
    <t>总库存</t>
  </si>
  <si>
    <t>可销售天数</t>
  </si>
  <si>
    <t>7天销售</t>
  </si>
  <si>
    <t>14天销售</t>
  </si>
  <si>
    <t>30天销量</t>
  </si>
  <si>
    <t>预期日销量</t>
  </si>
  <si>
    <t>允许 
备货期</t>
  </si>
  <si>
    <t>US补货建议</t>
  </si>
  <si>
    <t>IF函数计算出</t>
  </si>
  <si>
    <t>UK补货建议</t>
  </si>
  <si>
    <t>US-本地库存</t>
  </si>
  <si>
    <t>US
最终补货</t>
  </si>
  <si>
    <t>合计</t>
  </si>
  <si>
    <t>US+UK+
本地总库存</t>
  </si>
  <si>
    <t>安全到达时间</t>
  </si>
  <si>
    <t>补货后期望销售时间</t>
  </si>
  <si>
    <t>生产周期</t>
  </si>
  <si>
    <t>预计交期</t>
  </si>
  <si>
    <t>销售尺码百分比</t>
  </si>
  <si>
    <t>补后尺码百分比</t>
  </si>
  <si>
    <t>amazon-order-id</t>
  </si>
  <si>
    <t>merchant-order-id</t>
  </si>
  <si>
    <t>purchase-date</t>
  </si>
  <si>
    <t>last-updated-date</t>
  </si>
  <si>
    <t>order-status</t>
  </si>
  <si>
    <t>fulfillment-channel</t>
  </si>
  <si>
    <t>sales-channel</t>
  </si>
  <si>
    <t>order-channel</t>
  </si>
  <si>
    <t>url</t>
  </si>
  <si>
    <t>ship-service-level</t>
  </si>
  <si>
    <t>product-name</t>
  </si>
  <si>
    <t>sku</t>
  </si>
  <si>
    <t>asin</t>
  </si>
  <si>
    <t>number-of-items</t>
  </si>
  <si>
    <t>item-status</t>
  </si>
  <si>
    <t>quantity</t>
  </si>
  <si>
    <t>currency</t>
  </si>
  <si>
    <t>item-price</t>
  </si>
  <si>
    <t>item-tax</t>
  </si>
  <si>
    <t>shipping-price</t>
  </si>
  <si>
    <t>shipping-tax</t>
  </si>
  <si>
    <t>gift-wrap-price</t>
  </si>
  <si>
    <t>gift-wrap-tax</t>
  </si>
  <si>
    <t>item-promotion-discount</t>
  </si>
  <si>
    <t>ship-promotion-discount</t>
  </si>
  <si>
    <t>ship-city</t>
  </si>
  <si>
    <t>ship-state</t>
  </si>
  <si>
    <t>ship-postal-code</t>
  </si>
  <si>
    <t>ship-country</t>
  </si>
  <si>
    <t>promotion-ids</t>
  </si>
  <si>
    <t>is-business-order</t>
  </si>
  <si>
    <t>purchase-order-number</t>
  </si>
  <si>
    <t xml:space="preserve">price-designation </t>
  </si>
  <si>
    <t>后台下载销量</t>
  </si>
  <si>
    <t>fnsku</t>
  </si>
  <si>
    <t>condition</t>
  </si>
  <si>
    <t>your-price</t>
  </si>
  <si>
    <t>mfn-listing-exists</t>
  </si>
  <si>
    <t>mfn-fulfillable-quantity</t>
  </si>
  <si>
    <t>afn-listing-exists</t>
  </si>
  <si>
    <t>afn-warehouse-quantity</t>
  </si>
  <si>
    <t>afn-fulfillable-quantity</t>
  </si>
  <si>
    <t>afn-unsellable-quantity</t>
  </si>
  <si>
    <t>afn-reserved-quantity</t>
  </si>
  <si>
    <t>afn-total-quantity</t>
  </si>
  <si>
    <t>per-unit-volume</t>
  </si>
  <si>
    <t>afn-inbound-working-quantity</t>
  </si>
  <si>
    <t>afn-inbound-shipped-quantity</t>
  </si>
  <si>
    <t>afn-inbound-receiving-quantity</t>
  </si>
  <si>
    <t>afn-researching-quantity</t>
  </si>
  <si>
    <t>afn-reserved-future-supply</t>
  </si>
  <si>
    <t>afn-future-supply-buyable</t>
  </si>
  <si>
    <t>后台下载库存</t>
  </si>
  <si>
    <t>时间：2019/10/8</t>
  </si>
  <si>
    <t>冯金</t>
  </si>
  <si>
    <t>初始补货</t>
  </si>
  <si>
    <t>路上库存发出的时间</t>
  </si>
  <si>
    <t>14天销量</t>
  </si>
  <si>
    <t>7天销量</t>
  </si>
  <si>
    <t>是否需要补库存</t>
  </si>
  <si>
    <t>补货建议</t>
  </si>
  <si>
    <t>生产计划</t>
  </si>
  <si>
    <t>最终补货数</t>
  </si>
  <si>
    <t>1712103-BLK-SA</t>
  </si>
  <si>
    <t>1712103-BLK-MA</t>
  </si>
  <si>
    <t>1712103-BLK-LA</t>
  </si>
  <si>
    <t>1712103-BLK-XLA</t>
  </si>
  <si>
    <t>1712103-BLK-SC</t>
  </si>
  <si>
    <t>1712103-BLK-MC</t>
  </si>
  <si>
    <t>1712103-BLK-LC</t>
  </si>
  <si>
    <t>1712103-BLK-XLC</t>
  </si>
  <si>
    <t>1712103-GRY-SC</t>
  </si>
  <si>
    <t>1712103-GRY-MC</t>
  </si>
  <si>
    <t>1712103-GRY-LC</t>
  </si>
  <si>
    <t>1712103-GRY-XLC</t>
  </si>
  <si>
    <t>1712103-GRY-SA</t>
  </si>
  <si>
    <t>1712103-GRY-MA</t>
  </si>
  <si>
    <t>1712103-GRY-LA</t>
  </si>
  <si>
    <t>1712103-GRY-XLA</t>
  </si>
  <si>
    <t>1712103-RED-SC</t>
  </si>
  <si>
    <t>1712103-RED-MC</t>
  </si>
  <si>
    <t>1712103-RED-LC</t>
  </si>
  <si>
    <t>1712103-RED-XLC</t>
  </si>
  <si>
    <t>1712103-RED-SA</t>
  </si>
  <si>
    <t>1712103-RED-MA</t>
  </si>
  <si>
    <t>1712103-RED-LA</t>
  </si>
  <si>
    <t>1712103-RED-XLA</t>
  </si>
  <si>
    <t>1712103-RYL-SC</t>
  </si>
  <si>
    <t>1712103-RYL-MC</t>
  </si>
  <si>
    <t>1712103-RYL-LC</t>
  </si>
  <si>
    <t>1712103-RYL-XLC</t>
  </si>
  <si>
    <t>1712103-RYL-SA</t>
  </si>
  <si>
    <t>1712103-RYL-MA</t>
  </si>
  <si>
    <t>1712103-RYL-LA</t>
  </si>
  <si>
    <t>1712103-RYL-XLA</t>
  </si>
  <si>
    <t>1712103-WHT-SC</t>
  </si>
  <si>
    <t>1712103-WHT-MC</t>
  </si>
  <si>
    <t>1712103-WHT-LC</t>
  </si>
  <si>
    <t>1712103-WHT-XLC</t>
  </si>
  <si>
    <t>1712103-WHT-SA</t>
  </si>
  <si>
    <t>1712103-WHT-MA</t>
  </si>
  <si>
    <t>1712103-WHT-LA</t>
  </si>
  <si>
    <t>1712103-WHT-XLA</t>
  </si>
  <si>
    <t>时间：2019/10/16</t>
  </si>
  <si>
    <t>补货后总数量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</si>
</sst>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  <numFmt numFmtId="178" formatCode="0.00_);[Red]\(0.00\)"/>
    <numFmt numFmtId="179" formatCode="0.00_ "/>
  </numFmts>
  <fonts count="29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indexed="8"/>
      <name val="微软雅黑"/>
      <charset val="134"/>
    </font>
    <font>
      <sz val="8"/>
      <color theme="1"/>
      <name val="微软雅黑"/>
      <charset val="134"/>
    </font>
    <font>
      <sz val="8"/>
      <color indexed="8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宋体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微软雅黑"/>
      <charset val="134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4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12" fillId="0" borderId="4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4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2" borderId="42" applyNumberFormat="0" applyAlignment="0" applyProtection="0">
      <alignment vertical="center"/>
    </xf>
    <xf numFmtId="0" fontId="25" fillId="12" borderId="39" applyNumberFormat="0" applyAlignment="0" applyProtection="0">
      <alignment vertical="center"/>
    </xf>
    <xf numFmtId="0" fontId="27" fillId="24" borderId="46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41" applyNumberFormat="0" applyFill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0" fontId="1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58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58" fontId="3" fillId="0" borderId="10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1" fillId="0" borderId="12" xfId="0" applyFont="1" applyFill="1" applyBorder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58" fontId="3" fillId="0" borderId="15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" fillId="0" borderId="17" xfId="0" applyFont="1" applyFill="1" applyBorder="1">
      <alignment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58" fontId="3" fillId="0" borderId="20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1" fontId="5" fillId="0" borderId="0" xfId="0" applyNumberFormat="1" applyFont="1" applyBorder="1">
      <alignment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0" fontId="0" fillId="0" borderId="0" xfId="0" applyNumberFormat="1" applyBorder="1">
      <alignment vertical="center"/>
    </xf>
    <xf numFmtId="10" fontId="2" fillId="2" borderId="2" xfId="0" applyNumberFormat="1" applyFont="1" applyFill="1" applyBorder="1" applyAlignment="1">
      <alignment horizontal="center" vertical="center" wrapText="1"/>
    </xf>
    <xf numFmtId="10" fontId="2" fillId="2" borderId="25" xfId="0" applyNumberFormat="1" applyFont="1" applyFill="1" applyBorder="1" applyAlignment="1">
      <alignment horizontal="center" vertical="center" wrapText="1"/>
    </xf>
    <xf numFmtId="10" fontId="3" fillId="0" borderId="6" xfId="0" applyNumberFormat="1" applyFont="1" applyBorder="1">
      <alignment vertical="center"/>
    </xf>
    <xf numFmtId="10" fontId="3" fillId="0" borderId="10" xfId="0" applyNumberFormat="1" applyFont="1" applyBorder="1">
      <alignment vertical="center"/>
    </xf>
    <xf numFmtId="58" fontId="1" fillId="0" borderId="0" xfId="0" applyNumberFormat="1" applyFont="1">
      <alignment vertical="center"/>
    </xf>
    <xf numFmtId="10" fontId="3" fillId="0" borderId="15" xfId="0" applyNumberFormat="1" applyFont="1" applyBorder="1">
      <alignment vertical="center"/>
    </xf>
    <xf numFmtId="176" fontId="7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1" fillId="0" borderId="0" xfId="0" applyNumberFormat="1" applyFont="1">
      <alignment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58" fontId="5" fillId="0" borderId="21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58" fontId="5" fillId="0" borderId="9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58" fontId="5" fillId="0" borderId="14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8" fillId="2" borderId="26" xfId="0" applyNumberFormat="1" applyFont="1" applyFill="1" applyBorder="1" applyAlignment="1">
      <alignment horizontal="center" vertical="center" wrapText="1"/>
    </xf>
    <xf numFmtId="176" fontId="6" fillId="0" borderId="20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76" fontId="8" fillId="2" borderId="28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>
      <alignment vertical="center"/>
    </xf>
    <xf numFmtId="0" fontId="1" fillId="0" borderId="30" xfId="0" applyFont="1" applyFill="1" applyBorder="1">
      <alignment vertical="center"/>
    </xf>
    <xf numFmtId="0" fontId="1" fillId="0" borderId="31" xfId="0" applyFont="1" applyFill="1" applyBorder="1">
      <alignment vertical="center"/>
    </xf>
    <xf numFmtId="176" fontId="1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8" fontId="0" fillId="0" borderId="0" xfId="0" applyNumberFormat="1">
      <alignment vertical="center"/>
    </xf>
    <xf numFmtId="0" fontId="1" fillId="0" borderId="32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7" fontId="7" fillId="0" borderId="0" xfId="0" applyNumberFormat="1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 wrapText="1"/>
    </xf>
    <xf numFmtId="177" fontId="2" fillId="2" borderId="10" xfId="0" applyNumberFormat="1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 wrapText="1"/>
    </xf>
    <xf numFmtId="176" fontId="4" fillId="0" borderId="26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79" fontId="4" fillId="0" borderId="26" xfId="0" applyNumberFormat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/>
    </xf>
    <xf numFmtId="0" fontId="0" fillId="0" borderId="20" xfId="0" applyBorder="1">
      <alignment vertical="center"/>
    </xf>
    <xf numFmtId="0" fontId="7" fillId="0" borderId="20" xfId="0" applyFont="1" applyBorder="1">
      <alignment vertical="center"/>
    </xf>
    <xf numFmtId="1" fontId="5" fillId="0" borderId="20" xfId="0" applyNumberFormat="1" applyFont="1" applyBorder="1">
      <alignment vertical="center"/>
    </xf>
    <xf numFmtId="10" fontId="0" fillId="0" borderId="20" xfId="0" applyNumberFormat="1" applyBorder="1">
      <alignment vertical="center"/>
    </xf>
    <xf numFmtId="10" fontId="2" fillId="2" borderId="10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8" fontId="6" fillId="0" borderId="15" xfId="0" applyNumberFormat="1" applyFont="1" applyFill="1" applyBorder="1" applyAlignment="1">
      <alignment horizontal="center" vertical="center"/>
    </xf>
    <xf numFmtId="10" fontId="1" fillId="0" borderId="15" xfId="0" applyNumberFormat="1" applyFont="1" applyBorder="1" applyAlignment="1">
      <alignment horizontal="center" vertical="center"/>
    </xf>
    <xf numFmtId="10" fontId="0" fillId="0" borderId="29" xfId="0" applyNumberFormat="1" applyBorder="1">
      <alignment vertical="center"/>
    </xf>
    <xf numFmtId="10" fontId="2" fillId="2" borderId="30" xfId="0" applyNumberFormat="1" applyFont="1" applyFill="1" applyBorder="1" applyAlignment="1">
      <alignment horizontal="center" vertical="center" wrapText="1"/>
    </xf>
    <xf numFmtId="10" fontId="3" fillId="0" borderId="30" xfId="0" applyNumberFormat="1" applyFont="1" applyBorder="1" applyAlignment="1">
      <alignment horizontal="center" vertical="center"/>
    </xf>
    <xf numFmtId="10" fontId="3" fillId="0" borderId="38" xfId="0" applyNumberFormat="1" applyFont="1" applyBorder="1" applyAlignment="1">
      <alignment horizontal="center" vertical="center"/>
    </xf>
    <xf numFmtId="10" fontId="1" fillId="0" borderId="3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161925</xdr:rowOff>
    </xdr:from>
    <xdr:to>
      <xdr:col>0</xdr:col>
      <xdr:colOff>591030</xdr:colOff>
      <xdr:row>9</xdr:row>
      <xdr:rowOff>35100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27760"/>
          <a:ext cx="590550" cy="8788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11</xdr:row>
      <xdr:rowOff>142874</xdr:rowOff>
    </xdr:from>
    <xdr:to>
      <xdr:col>0</xdr:col>
      <xdr:colOff>513297</xdr:colOff>
      <xdr:row>18</xdr:row>
      <xdr:rowOff>27910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" y="2458720"/>
          <a:ext cx="494030" cy="105854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</xdr:row>
      <xdr:rowOff>66674</xdr:rowOff>
    </xdr:from>
    <xdr:to>
      <xdr:col>0</xdr:col>
      <xdr:colOff>522392</xdr:colOff>
      <xdr:row>25</xdr:row>
      <xdr:rowOff>122548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625" y="3900805"/>
          <a:ext cx="474345" cy="8940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152399</xdr:rowOff>
    </xdr:from>
    <xdr:to>
      <xdr:col>0</xdr:col>
      <xdr:colOff>539253</xdr:colOff>
      <xdr:row>34</xdr:row>
      <xdr:rowOff>33215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5169535"/>
          <a:ext cx="539115" cy="105473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36</xdr:row>
      <xdr:rowOff>133349</xdr:rowOff>
    </xdr:from>
    <xdr:to>
      <xdr:col>0</xdr:col>
      <xdr:colOff>610235</xdr:colOff>
      <xdr:row>41</xdr:row>
      <xdr:rowOff>114299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9050" y="6668770"/>
          <a:ext cx="591185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161925</xdr:rowOff>
    </xdr:from>
    <xdr:to>
      <xdr:col>0</xdr:col>
      <xdr:colOff>591030</xdr:colOff>
      <xdr:row>9</xdr:row>
      <xdr:rowOff>92250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27760"/>
          <a:ext cx="590550" cy="93599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11</xdr:row>
      <xdr:rowOff>142874</xdr:rowOff>
    </xdr:from>
    <xdr:to>
      <xdr:col>0</xdr:col>
      <xdr:colOff>513297</xdr:colOff>
      <xdr:row>18</xdr:row>
      <xdr:rowOff>94585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" y="2458720"/>
          <a:ext cx="494030" cy="112522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</xdr:row>
      <xdr:rowOff>66674</xdr:rowOff>
    </xdr:from>
    <xdr:to>
      <xdr:col>0</xdr:col>
      <xdr:colOff>522392</xdr:colOff>
      <xdr:row>26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625" y="3900805"/>
          <a:ext cx="474345" cy="939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152399</xdr:rowOff>
    </xdr:from>
    <xdr:to>
      <xdr:col>0</xdr:col>
      <xdr:colOff>539253</xdr:colOff>
      <xdr:row>34</xdr:row>
      <xdr:rowOff>99890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5169535"/>
          <a:ext cx="539115" cy="112141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36</xdr:row>
      <xdr:rowOff>133349</xdr:rowOff>
    </xdr:from>
    <xdr:to>
      <xdr:col>0</xdr:col>
      <xdr:colOff>610235</xdr:colOff>
      <xdr:row>41</xdr:row>
      <xdr:rowOff>161924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9050" y="6668770"/>
          <a:ext cx="591185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19050</xdr:colOff>
      <xdr:row>2</xdr:row>
      <xdr:rowOff>161925</xdr:rowOff>
    </xdr:from>
    <xdr:to>
      <xdr:col>0</xdr:col>
      <xdr:colOff>610080</xdr:colOff>
      <xdr:row>8</xdr:row>
      <xdr:rowOff>149400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" y="828675"/>
          <a:ext cx="59055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10</xdr:row>
      <xdr:rowOff>76199</xdr:rowOff>
    </xdr:from>
    <xdr:to>
      <xdr:col>0</xdr:col>
      <xdr:colOff>579972</xdr:colOff>
      <xdr:row>17</xdr:row>
      <xdr:rowOff>94585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25" y="2113915"/>
          <a:ext cx="494030" cy="121856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18</xdr:row>
      <xdr:rowOff>161924</xdr:rowOff>
    </xdr:from>
    <xdr:to>
      <xdr:col>0</xdr:col>
      <xdr:colOff>560492</xdr:colOff>
      <xdr:row>24</xdr:row>
      <xdr:rowOff>141598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725" y="3571240"/>
          <a:ext cx="474345" cy="100838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26</xdr:row>
      <xdr:rowOff>95249</xdr:rowOff>
    </xdr:from>
    <xdr:to>
      <xdr:col>0</xdr:col>
      <xdr:colOff>605928</xdr:colOff>
      <xdr:row>33</xdr:row>
      <xdr:rowOff>109415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6675" y="4876165"/>
          <a:ext cx="539115" cy="121475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35</xdr:row>
      <xdr:rowOff>76199</xdr:rowOff>
    </xdr:from>
    <xdr:to>
      <xdr:col>1</xdr:col>
      <xdr:colOff>0</xdr:colOff>
      <xdr:row>40</xdr:row>
      <xdr:rowOff>152399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7150" y="6400165"/>
          <a:ext cx="56007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tabSelected="1" workbookViewId="0">
      <selection activeCell="N5" sqref="N5"/>
    </sheetView>
  </sheetViews>
  <sheetFormatPr defaultColWidth="9" defaultRowHeight="13.8"/>
  <cols>
    <col min="1" max="1" width="4.77777777777778" customWidth="1"/>
    <col min="2" max="2" width="4.11111111111111" customWidth="1"/>
    <col min="3" max="3" width="4.66666666666667" customWidth="1"/>
    <col min="4" max="4" width="4.33333333333333" customWidth="1"/>
    <col min="5" max="5" width="4.22222222222222" customWidth="1"/>
    <col min="6" max="6" width="4.33333333333333" customWidth="1"/>
    <col min="7" max="7" width="6.33333333333333" customWidth="1"/>
    <col min="8" max="8" width="5.88888888888889" customWidth="1"/>
    <col min="9" max="9" width="5.66666666666667" customWidth="1"/>
    <col min="10" max="10" width="5.11111111111111" style="2" customWidth="1"/>
    <col min="11" max="11" width="6" style="2" customWidth="1"/>
    <col min="12" max="12" width="6" style="108" customWidth="1"/>
    <col min="13" max="13" width="6.33333333333333" style="2" customWidth="1"/>
    <col min="14" max="14" width="6.66666666666667" style="2" customWidth="1"/>
    <col min="15" max="15" width="8.11111111111111" style="2" customWidth="1"/>
    <col min="16" max="16" width="6.88888888888889" style="2" customWidth="1"/>
    <col min="17" max="17" width="7.11111111111111" style="2" customWidth="1"/>
    <col min="18" max="18" width="5.22222222222222" style="2" customWidth="1"/>
    <col min="19" max="19" width="7.55555555555556" style="2" customWidth="1"/>
    <col min="20" max="20" width="7" style="2" customWidth="1"/>
    <col min="21" max="21" width="8" style="2" customWidth="1"/>
    <col min="22" max="22" width="5.77777777777778" style="2" customWidth="1"/>
    <col min="23" max="23" width="6.44444444444444" style="2" customWidth="1"/>
    <col min="24" max="24" width="6.55555555555556" style="2" customWidth="1"/>
    <col min="25" max="25" width="7.77777777777778" style="109" customWidth="1"/>
    <col min="26" max="26" width="3.88888888888889" style="2" customWidth="1"/>
    <col min="27" max="27" width="9.55555555555556" style="2" customWidth="1"/>
    <col min="28" max="28" width="5.77777777777778" customWidth="1"/>
    <col min="29" max="29" width="10.1111111111111" customWidth="1"/>
    <col min="30" max="30" width="5" style="110" customWidth="1"/>
    <col min="31" max="31" width="5.44444444444444" customWidth="1"/>
    <col min="32" max="33" width="7.66666666666667" style="5" customWidth="1"/>
  </cols>
  <sheetData>
    <row r="1" ht="20.25" customHeight="1" spans="1:33">
      <c r="A1" s="6"/>
      <c r="B1" s="6"/>
      <c r="C1" s="6"/>
      <c r="D1" s="6"/>
      <c r="E1" s="6"/>
      <c r="F1" s="6"/>
      <c r="G1" s="6"/>
      <c r="H1" s="6"/>
      <c r="I1" s="6"/>
      <c r="J1" s="43" t="s">
        <v>0</v>
      </c>
      <c r="K1" s="43"/>
      <c r="L1" s="125"/>
      <c r="M1" s="43"/>
      <c r="N1" s="43"/>
      <c r="O1" s="43" t="s">
        <v>1</v>
      </c>
      <c r="P1" s="43"/>
      <c r="Q1" s="43"/>
      <c r="R1" s="43"/>
      <c r="S1" s="43"/>
      <c r="T1" s="43"/>
      <c r="U1" s="43"/>
      <c r="V1" s="43"/>
      <c r="W1" s="43"/>
      <c r="X1" s="43" t="s">
        <v>1</v>
      </c>
      <c r="AA1" s="43"/>
      <c r="AD1" s="43"/>
      <c r="AE1" s="44"/>
      <c r="AF1" s="60"/>
      <c r="AG1" s="60"/>
    </row>
    <row r="2" ht="20.25" customHeight="1" spans="1:33">
      <c r="A2" s="111"/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26"/>
      <c r="N2" s="127"/>
      <c r="O2" s="127" t="s">
        <v>3</v>
      </c>
      <c r="P2" s="127"/>
      <c r="Q2" s="127"/>
      <c r="R2" s="127"/>
      <c r="S2" s="127"/>
      <c r="T2" s="127"/>
      <c r="U2" s="127"/>
      <c r="V2" s="127"/>
      <c r="W2" s="127"/>
      <c r="X2" s="127"/>
      <c r="Y2" s="139"/>
      <c r="Z2" s="127"/>
      <c r="AA2" s="127"/>
      <c r="AB2" s="140"/>
      <c r="AC2" s="140"/>
      <c r="AD2" s="141"/>
      <c r="AE2" s="142"/>
      <c r="AF2" s="143"/>
      <c r="AG2" s="152"/>
    </row>
    <row r="3" ht="32.25" customHeight="1" spans="1:33">
      <c r="A3" s="113" t="s">
        <v>4</v>
      </c>
      <c r="B3" s="114" t="s">
        <v>5</v>
      </c>
      <c r="C3" s="115" t="s">
        <v>6</v>
      </c>
      <c r="D3" s="116" t="s">
        <v>7</v>
      </c>
      <c r="E3" s="116" t="s">
        <v>8</v>
      </c>
      <c r="F3" s="116" t="s">
        <v>9</v>
      </c>
      <c r="G3" s="115" t="s">
        <v>10</v>
      </c>
      <c r="H3" s="115" t="s">
        <v>11</v>
      </c>
      <c r="I3" s="115" t="s">
        <v>12</v>
      </c>
      <c r="J3" s="115" t="s">
        <v>13</v>
      </c>
      <c r="K3" s="128" t="s">
        <v>14</v>
      </c>
      <c r="L3" s="129" t="s">
        <v>15</v>
      </c>
      <c r="M3" s="115" t="s">
        <v>16</v>
      </c>
      <c r="N3" s="115" t="s">
        <v>17</v>
      </c>
      <c r="O3" s="116" t="s">
        <v>7</v>
      </c>
      <c r="P3" s="116" t="s">
        <v>8</v>
      </c>
      <c r="Q3" s="116" t="s">
        <v>9</v>
      </c>
      <c r="R3" s="115" t="s">
        <v>10</v>
      </c>
      <c r="S3" s="115" t="s">
        <v>13</v>
      </c>
      <c r="T3" s="128" t="s">
        <v>14</v>
      </c>
      <c r="U3" s="134" t="s">
        <v>15</v>
      </c>
      <c r="V3" s="115" t="s">
        <v>18</v>
      </c>
      <c r="W3" s="115" t="s">
        <v>17</v>
      </c>
      <c r="X3" s="115" t="s">
        <v>19</v>
      </c>
      <c r="Y3" s="115" t="s">
        <v>20</v>
      </c>
      <c r="Z3" s="115" t="s">
        <v>21</v>
      </c>
      <c r="AA3" s="115" t="s">
        <v>22</v>
      </c>
      <c r="AB3" s="116" t="s">
        <v>23</v>
      </c>
      <c r="AC3" s="116" t="s">
        <v>24</v>
      </c>
      <c r="AD3" s="115" t="s">
        <v>25</v>
      </c>
      <c r="AE3" s="115" t="s">
        <v>26</v>
      </c>
      <c r="AF3" s="144" t="s">
        <v>27</v>
      </c>
      <c r="AG3" s="153" t="s">
        <v>28</v>
      </c>
    </row>
    <row r="4" s="6" customFormat="1" ht="22.2" customHeight="1" spans="1:33">
      <c r="A4" s="117"/>
      <c r="B4" s="118"/>
      <c r="C4" s="49"/>
      <c r="D4" s="49"/>
      <c r="E4" s="49">
        <v>0</v>
      </c>
      <c r="F4" s="49">
        <f>D4+E4</f>
        <v>0</v>
      </c>
      <c r="G4" s="22">
        <f>F4/K4</f>
        <v>0</v>
      </c>
      <c r="H4" s="22">
        <v>6</v>
      </c>
      <c r="I4" s="22">
        <v>9</v>
      </c>
      <c r="J4" s="22">
        <v>17</v>
      </c>
      <c r="K4" s="130">
        <f>H4/7</f>
        <v>0.857142857142857</v>
      </c>
      <c r="L4" s="22">
        <f>G4-AB4-AD4</f>
        <v>-40</v>
      </c>
      <c r="M4" s="22">
        <f>H4*8-F4</f>
        <v>48</v>
      </c>
      <c r="N4" s="131">
        <f>IF(M4&gt;0,M4,0)</f>
        <v>48</v>
      </c>
      <c r="O4" s="49">
        <v>0</v>
      </c>
      <c r="P4" s="49">
        <v>0</v>
      </c>
      <c r="Q4" s="49">
        <v>0</v>
      </c>
      <c r="R4" s="22">
        <v>0</v>
      </c>
      <c r="S4" s="20">
        <v>0</v>
      </c>
      <c r="T4" s="130">
        <v>0</v>
      </c>
      <c r="U4" s="22">
        <f>R4-AD4-AB4</f>
        <v>-40</v>
      </c>
      <c r="V4" s="22">
        <v>0</v>
      </c>
      <c r="W4" s="131">
        <f>IF(V4&gt;0,V4,0)</f>
        <v>0</v>
      </c>
      <c r="X4" s="20">
        <f>W4+N4-C4</f>
        <v>48</v>
      </c>
      <c r="Y4" s="145">
        <f>N4+W4</f>
        <v>48</v>
      </c>
      <c r="Z4" s="146">
        <v>165</v>
      </c>
      <c r="AA4" s="49">
        <f>C4+F4+Q4</f>
        <v>0</v>
      </c>
      <c r="AB4" s="49">
        <v>40</v>
      </c>
      <c r="AC4" s="49">
        <v>60</v>
      </c>
      <c r="AD4" s="22"/>
      <c r="AE4" s="22"/>
      <c r="AF4" s="147">
        <f>H4/84</f>
        <v>0.0714285714285714</v>
      </c>
      <c r="AG4" s="154">
        <f>N4/N16</f>
        <v>0.0714285714285714</v>
      </c>
    </row>
    <row r="5" s="6" customFormat="1" ht="22.2" customHeight="1" spans="1:33">
      <c r="A5" s="119"/>
      <c r="B5" s="118"/>
      <c r="C5" s="49"/>
      <c r="D5" s="49"/>
      <c r="E5" s="49">
        <v>0</v>
      </c>
      <c r="F5" s="49">
        <f>D5+E5</f>
        <v>0</v>
      </c>
      <c r="G5" s="22">
        <f>F5/K5</f>
        <v>0</v>
      </c>
      <c r="H5" s="22">
        <v>17</v>
      </c>
      <c r="I5" s="22">
        <v>24</v>
      </c>
      <c r="J5" s="22">
        <v>36</v>
      </c>
      <c r="K5" s="130">
        <f t="shared" ref="K5:K15" si="0">H5/7</f>
        <v>2.42857142857143</v>
      </c>
      <c r="L5" s="22">
        <f>G5-AB5-AD5</f>
        <v>-40</v>
      </c>
      <c r="M5" s="22">
        <f t="shared" ref="M5:M15" si="1">H5*8-F5</f>
        <v>136</v>
      </c>
      <c r="N5" s="131">
        <f t="shared" ref="N5:N15" si="2">IF(M5&gt;0,M5,0)</f>
        <v>136</v>
      </c>
      <c r="O5" s="49">
        <v>0</v>
      </c>
      <c r="P5" s="49">
        <v>0</v>
      </c>
      <c r="Q5" s="49">
        <f>O5+P5</f>
        <v>0</v>
      </c>
      <c r="R5" s="22">
        <v>0</v>
      </c>
      <c r="S5" s="20">
        <v>0</v>
      </c>
      <c r="T5" s="130">
        <f>S5/30</f>
        <v>0</v>
      </c>
      <c r="U5" s="22">
        <f t="shared" ref="U4:U6" si="3">R5-AD5-AB5</f>
        <v>-40</v>
      </c>
      <c r="V5" s="22">
        <f>S5*6-Q5</f>
        <v>0</v>
      </c>
      <c r="W5" s="131">
        <f>IF(V5&gt;0,V5,0)</f>
        <v>0</v>
      </c>
      <c r="X5" s="20">
        <f>W5+N5-C5</f>
        <v>136</v>
      </c>
      <c r="Y5" s="145">
        <f t="shared" ref="Y5:Y15" si="4">N5+W5</f>
        <v>136</v>
      </c>
      <c r="Z5" s="148"/>
      <c r="AA5" s="49">
        <f>C5+F5+Q5</f>
        <v>0</v>
      </c>
      <c r="AB5" s="49">
        <v>40</v>
      </c>
      <c r="AC5" s="49">
        <v>60</v>
      </c>
      <c r="AD5" s="22"/>
      <c r="AE5" s="22"/>
      <c r="AF5" s="147">
        <f>H5/84</f>
        <v>0.202380952380952</v>
      </c>
      <c r="AG5" s="154">
        <f>N5/N16</f>
        <v>0.202380952380952</v>
      </c>
    </row>
    <row r="6" s="6" customFormat="1" ht="22.2" customHeight="1" spans="1:33">
      <c r="A6" s="119"/>
      <c r="B6" s="118"/>
      <c r="C6" s="49"/>
      <c r="D6" s="49"/>
      <c r="E6" s="49">
        <v>0</v>
      </c>
      <c r="F6" s="49">
        <f>D6+E6</f>
        <v>0</v>
      </c>
      <c r="G6" s="22">
        <f>F6/K6</f>
        <v>0</v>
      </c>
      <c r="H6" s="22">
        <v>14</v>
      </c>
      <c r="I6" s="22">
        <v>17</v>
      </c>
      <c r="J6" s="22">
        <v>27</v>
      </c>
      <c r="K6" s="130">
        <f t="shared" si="0"/>
        <v>2</v>
      </c>
      <c r="L6" s="22">
        <f>G6-AB6-AD6</f>
        <v>-40</v>
      </c>
      <c r="M6" s="22">
        <f t="shared" si="1"/>
        <v>112</v>
      </c>
      <c r="N6" s="131">
        <f t="shared" si="2"/>
        <v>112</v>
      </c>
      <c r="O6" s="49">
        <v>0</v>
      </c>
      <c r="P6" s="49">
        <v>0</v>
      </c>
      <c r="Q6" s="49">
        <f t="shared" ref="Q6" si="5">O6+P6</f>
        <v>0</v>
      </c>
      <c r="R6" s="22">
        <v>0</v>
      </c>
      <c r="S6" s="20">
        <v>0</v>
      </c>
      <c r="T6" s="130">
        <f>S6/30</f>
        <v>0</v>
      </c>
      <c r="U6" s="22">
        <f t="shared" si="3"/>
        <v>-40</v>
      </c>
      <c r="V6" s="22">
        <f t="shared" ref="V6" si="6">S6*6-Q6</f>
        <v>0</v>
      </c>
      <c r="W6" s="131">
        <f>IF(V6&gt;0,V6,0)</f>
        <v>0</v>
      </c>
      <c r="X6" s="20">
        <f>W6+N6-C6</f>
        <v>112</v>
      </c>
      <c r="Y6" s="145">
        <f t="shared" si="4"/>
        <v>112</v>
      </c>
      <c r="Z6" s="148"/>
      <c r="AA6" s="49">
        <f t="shared" ref="AA5:AA15" si="7">C6+F6+Q6</f>
        <v>0</v>
      </c>
      <c r="AB6" s="49">
        <v>40</v>
      </c>
      <c r="AC6" s="49">
        <v>60</v>
      </c>
      <c r="AD6" s="22"/>
      <c r="AE6" s="22"/>
      <c r="AF6" s="147">
        <f>H6/84</f>
        <v>0.166666666666667</v>
      </c>
      <c r="AG6" s="154">
        <f>N6/N16</f>
        <v>0.166666666666667</v>
      </c>
    </row>
    <row r="7" s="6" customFormat="1" ht="22.2" customHeight="1" spans="1:33">
      <c r="A7" s="119"/>
      <c r="B7" s="120"/>
      <c r="C7" s="49"/>
      <c r="D7" s="49"/>
      <c r="E7" s="49">
        <v>0</v>
      </c>
      <c r="F7" s="49">
        <f t="shared" ref="F7:F15" si="8">D7+E7</f>
        <v>0</v>
      </c>
      <c r="G7" s="22">
        <f t="shared" ref="G7:G15" si="9">F7/K7</f>
        <v>0</v>
      </c>
      <c r="H7" s="22">
        <v>6</v>
      </c>
      <c r="I7" s="22">
        <v>10</v>
      </c>
      <c r="J7" s="22">
        <v>16</v>
      </c>
      <c r="K7" s="130">
        <f t="shared" si="0"/>
        <v>0.857142857142857</v>
      </c>
      <c r="L7" s="22">
        <f t="shared" ref="L7:L15" si="10">G7-AB7-AD7</f>
        <v>-40</v>
      </c>
      <c r="M7" s="22">
        <f t="shared" si="1"/>
        <v>48</v>
      </c>
      <c r="N7" s="131">
        <f t="shared" si="2"/>
        <v>48</v>
      </c>
      <c r="O7" s="132"/>
      <c r="P7" s="132"/>
      <c r="Q7" s="132"/>
      <c r="R7" s="135"/>
      <c r="S7" s="136"/>
      <c r="T7" s="137"/>
      <c r="U7" s="135"/>
      <c r="V7" s="135"/>
      <c r="W7" s="138"/>
      <c r="X7" s="20">
        <f t="shared" ref="X7:X15" si="11">W7+N7-C7</f>
        <v>48</v>
      </c>
      <c r="Y7" s="145">
        <f t="shared" si="4"/>
        <v>48</v>
      </c>
      <c r="Z7" s="149"/>
      <c r="AA7" s="49">
        <f t="shared" si="7"/>
        <v>0</v>
      </c>
      <c r="AB7" s="49">
        <v>40</v>
      </c>
      <c r="AC7" s="132">
        <v>60</v>
      </c>
      <c r="AD7" s="135"/>
      <c r="AE7" s="135"/>
      <c r="AF7" s="147">
        <f>H7/84</f>
        <v>0.0714285714285714</v>
      </c>
      <c r="AG7" s="155">
        <f>N7/264</f>
        <v>0.181818181818182</v>
      </c>
    </row>
    <row r="8" s="6" customFormat="1" ht="22.2" customHeight="1" spans="1:33">
      <c r="A8" s="119"/>
      <c r="B8" s="120"/>
      <c r="C8" s="49"/>
      <c r="D8" s="49"/>
      <c r="E8" s="49">
        <v>0</v>
      </c>
      <c r="F8" s="49">
        <f t="shared" si="8"/>
        <v>0</v>
      </c>
      <c r="G8" s="22">
        <f t="shared" si="9"/>
        <v>0</v>
      </c>
      <c r="H8" s="22">
        <v>2</v>
      </c>
      <c r="I8" s="22">
        <v>5</v>
      </c>
      <c r="J8" s="22">
        <v>5</v>
      </c>
      <c r="K8" s="130">
        <f t="shared" si="0"/>
        <v>0.285714285714286</v>
      </c>
      <c r="L8" s="22">
        <f t="shared" si="10"/>
        <v>-40</v>
      </c>
      <c r="M8" s="22">
        <f t="shared" si="1"/>
        <v>16</v>
      </c>
      <c r="N8" s="131">
        <f t="shared" si="2"/>
        <v>16</v>
      </c>
      <c r="O8" s="132"/>
      <c r="P8" s="132"/>
      <c r="Q8" s="132"/>
      <c r="R8" s="135"/>
      <c r="S8" s="136"/>
      <c r="T8" s="137"/>
      <c r="U8" s="135"/>
      <c r="V8" s="135"/>
      <c r="W8" s="138"/>
      <c r="X8" s="20">
        <f t="shared" si="11"/>
        <v>16</v>
      </c>
      <c r="Y8" s="145">
        <f t="shared" si="4"/>
        <v>16</v>
      </c>
      <c r="Z8" s="146">
        <v>20</v>
      </c>
      <c r="AA8" s="49">
        <f t="shared" si="7"/>
        <v>0</v>
      </c>
      <c r="AB8" s="49">
        <v>40</v>
      </c>
      <c r="AC8" s="132">
        <v>60</v>
      </c>
      <c r="AD8" s="135"/>
      <c r="AE8" s="135"/>
      <c r="AF8" s="147">
        <f>H8/84</f>
        <v>0.0238095238095238</v>
      </c>
      <c r="AG8" s="155">
        <f t="shared" ref="AG8:AG15" si="12">N8/264</f>
        <v>0.0606060606060606</v>
      </c>
    </row>
    <row r="9" s="6" customFormat="1" ht="22.2" customHeight="1" spans="1:33">
      <c r="A9" s="119"/>
      <c r="B9" s="120"/>
      <c r="C9" s="49"/>
      <c r="D9" s="49"/>
      <c r="E9" s="49">
        <v>0</v>
      </c>
      <c r="F9" s="49">
        <f t="shared" si="8"/>
        <v>0</v>
      </c>
      <c r="G9" s="22">
        <f t="shared" si="9"/>
        <v>0</v>
      </c>
      <c r="H9" s="22">
        <v>5</v>
      </c>
      <c r="I9" s="22">
        <v>6</v>
      </c>
      <c r="J9" s="22">
        <v>12</v>
      </c>
      <c r="K9" s="130">
        <f t="shared" si="0"/>
        <v>0.714285714285714</v>
      </c>
      <c r="L9" s="22">
        <f t="shared" si="10"/>
        <v>-40</v>
      </c>
      <c r="M9" s="22">
        <f t="shared" si="1"/>
        <v>40</v>
      </c>
      <c r="N9" s="131">
        <f t="shared" si="2"/>
        <v>40</v>
      </c>
      <c r="O9" s="132"/>
      <c r="P9" s="132"/>
      <c r="Q9" s="132"/>
      <c r="R9" s="135"/>
      <c r="S9" s="136"/>
      <c r="T9" s="137"/>
      <c r="U9" s="135"/>
      <c r="V9" s="135"/>
      <c r="W9" s="138"/>
      <c r="X9" s="20">
        <f t="shared" si="11"/>
        <v>40</v>
      </c>
      <c r="Y9" s="145">
        <f t="shared" si="4"/>
        <v>40</v>
      </c>
      <c r="Z9" s="148"/>
      <c r="AA9" s="49">
        <f t="shared" si="7"/>
        <v>0</v>
      </c>
      <c r="AB9" s="49">
        <v>40</v>
      </c>
      <c r="AC9" s="132">
        <v>60</v>
      </c>
      <c r="AD9" s="135"/>
      <c r="AE9" s="135"/>
      <c r="AF9" s="147">
        <f t="shared" ref="AF6:AF15" si="13">H9/84</f>
        <v>0.0595238095238095</v>
      </c>
      <c r="AG9" s="155">
        <f t="shared" si="12"/>
        <v>0.151515151515152</v>
      </c>
    </row>
    <row r="10" s="6" customFormat="1" ht="22.2" customHeight="1" spans="1:33">
      <c r="A10" s="119"/>
      <c r="B10" s="120"/>
      <c r="C10" s="49"/>
      <c r="D10" s="49"/>
      <c r="E10" s="49">
        <v>0</v>
      </c>
      <c r="F10" s="49">
        <f t="shared" si="8"/>
        <v>0</v>
      </c>
      <c r="G10" s="22">
        <f t="shared" si="9"/>
        <v>0</v>
      </c>
      <c r="H10" s="22">
        <v>14</v>
      </c>
      <c r="I10" s="22">
        <v>18</v>
      </c>
      <c r="J10" s="22">
        <v>24</v>
      </c>
      <c r="K10" s="130">
        <f t="shared" si="0"/>
        <v>2</v>
      </c>
      <c r="L10" s="22">
        <f t="shared" si="10"/>
        <v>-40</v>
      </c>
      <c r="M10" s="22">
        <f t="shared" si="1"/>
        <v>112</v>
      </c>
      <c r="N10" s="131">
        <f t="shared" si="2"/>
        <v>112</v>
      </c>
      <c r="O10" s="132"/>
      <c r="P10" s="132"/>
      <c r="Q10" s="132"/>
      <c r="R10" s="135"/>
      <c r="S10" s="136"/>
      <c r="T10" s="137"/>
      <c r="U10" s="135"/>
      <c r="V10" s="135"/>
      <c r="W10" s="138"/>
      <c r="X10" s="20">
        <f t="shared" si="11"/>
        <v>112</v>
      </c>
      <c r="Y10" s="145">
        <f t="shared" si="4"/>
        <v>112</v>
      </c>
      <c r="Z10" s="148"/>
      <c r="AA10" s="49">
        <f t="shared" si="7"/>
        <v>0</v>
      </c>
      <c r="AB10" s="49">
        <v>40</v>
      </c>
      <c r="AC10" s="132">
        <v>60</v>
      </c>
      <c r="AD10" s="135"/>
      <c r="AE10" s="135"/>
      <c r="AF10" s="147">
        <f t="shared" si="13"/>
        <v>0.166666666666667</v>
      </c>
      <c r="AG10" s="155">
        <f t="shared" si="12"/>
        <v>0.424242424242424</v>
      </c>
    </row>
    <row r="11" s="6" customFormat="1" ht="22.2" customHeight="1" spans="1:33">
      <c r="A11" s="119"/>
      <c r="B11" s="120"/>
      <c r="C11" s="49"/>
      <c r="D11" s="49"/>
      <c r="E11" s="49">
        <v>0</v>
      </c>
      <c r="F11" s="49">
        <f t="shared" si="8"/>
        <v>0</v>
      </c>
      <c r="G11" s="22">
        <f t="shared" si="9"/>
        <v>0</v>
      </c>
      <c r="H11" s="22">
        <v>7</v>
      </c>
      <c r="I11" s="22">
        <v>14</v>
      </c>
      <c r="J11" s="22">
        <v>20</v>
      </c>
      <c r="K11" s="130">
        <f t="shared" si="0"/>
        <v>1</v>
      </c>
      <c r="L11" s="22">
        <f t="shared" si="10"/>
        <v>-40</v>
      </c>
      <c r="M11" s="22">
        <f t="shared" si="1"/>
        <v>56</v>
      </c>
      <c r="N11" s="131">
        <f t="shared" si="2"/>
        <v>56</v>
      </c>
      <c r="O11" s="132"/>
      <c r="P11" s="132"/>
      <c r="Q11" s="132"/>
      <c r="R11" s="135"/>
      <c r="S11" s="136"/>
      <c r="T11" s="137"/>
      <c r="U11" s="135"/>
      <c r="V11" s="135"/>
      <c r="W11" s="138"/>
      <c r="X11" s="20">
        <f t="shared" si="11"/>
        <v>56</v>
      </c>
      <c r="Y11" s="145">
        <f t="shared" si="4"/>
        <v>56</v>
      </c>
      <c r="Z11" s="149"/>
      <c r="AA11" s="49">
        <f t="shared" si="7"/>
        <v>0</v>
      </c>
      <c r="AB11" s="49">
        <v>40</v>
      </c>
      <c r="AC11" s="132">
        <v>60</v>
      </c>
      <c r="AD11" s="135"/>
      <c r="AE11" s="135"/>
      <c r="AF11" s="147">
        <f t="shared" si="13"/>
        <v>0.0833333333333333</v>
      </c>
      <c r="AG11" s="155">
        <f t="shared" si="12"/>
        <v>0.212121212121212</v>
      </c>
    </row>
    <row r="12" s="6" customFormat="1" ht="22.2" customHeight="1" spans="1:33">
      <c r="A12" s="119"/>
      <c r="B12" s="120"/>
      <c r="C12" s="49"/>
      <c r="D12" s="49"/>
      <c r="E12" s="49">
        <v>0</v>
      </c>
      <c r="F12" s="49">
        <f t="shared" si="8"/>
        <v>0</v>
      </c>
      <c r="G12" s="22">
        <v>0</v>
      </c>
      <c r="H12" s="22">
        <v>0</v>
      </c>
      <c r="I12" s="22">
        <v>1</v>
      </c>
      <c r="J12" s="22">
        <v>3</v>
      </c>
      <c r="K12" s="130">
        <f t="shared" si="0"/>
        <v>0</v>
      </c>
      <c r="L12" s="22">
        <f t="shared" si="10"/>
        <v>-40</v>
      </c>
      <c r="M12" s="22">
        <f t="shared" si="1"/>
        <v>0</v>
      </c>
      <c r="N12" s="131">
        <f t="shared" si="2"/>
        <v>0</v>
      </c>
      <c r="O12" s="132"/>
      <c r="P12" s="132"/>
      <c r="Q12" s="132"/>
      <c r="R12" s="135"/>
      <c r="S12" s="136"/>
      <c r="T12" s="137"/>
      <c r="U12" s="135"/>
      <c r="V12" s="135"/>
      <c r="W12" s="138"/>
      <c r="X12" s="20">
        <f t="shared" si="11"/>
        <v>0</v>
      </c>
      <c r="Y12" s="145">
        <f t="shared" si="4"/>
        <v>0</v>
      </c>
      <c r="Z12" s="146">
        <v>79</v>
      </c>
      <c r="AA12" s="49">
        <f t="shared" si="7"/>
        <v>0</v>
      </c>
      <c r="AB12" s="49">
        <v>40</v>
      </c>
      <c r="AC12" s="132">
        <v>60</v>
      </c>
      <c r="AD12" s="135"/>
      <c r="AE12" s="135"/>
      <c r="AF12" s="147">
        <f t="shared" si="13"/>
        <v>0</v>
      </c>
      <c r="AG12" s="155">
        <f t="shared" si="12"/>
        <v>0</v>
      </c>
    </row>
    <row r="13" s="6" customFormat="1" ht="22.2" customHeight="1" spans="1:33">
      <c r="A13" s="119"/>
      <c r="B13" s="120"/>
      <c r="C13" s="49"/>
      <c r="D13" s="49"/>
      <c r="E13" s="49">
        <v>0</v>
      </c>
      <c r="F13" s="49">
        <f t="shared" si="8"/>
        <v>0</v>
      </c>
      <c r="G13" s="22">
        <f>F13/K13</f>
        <v>0</v>
      </c>
      <c r="H13" s="22">
        <v>5</v>
      </c>
      <c r="I13" s="22">
        <v>7</v>
      </c>
      <c r="J13" s="22">
        <v>10</v>
      </c>
      <c r="K13" s="130">
        <f t="shared" si="0"/>
        <v>0.714285714285714</v>
      </c>
      <c r="L13" s="22">
        <f t="shared" si="10"/>
        <v>-40</v>
      </c>
      <c r="M13" s="22">
        <f t="shared" si="1"/>
        <v>40</v>
      </c>
      <c r="N13" s="131">
        <f t="shared" si="2"/>
        <v>40</v>
      </c>
      <c r="O13" s="132"/>
      <c r="P13" s="132"/>
      <c r="Q13" s="132"/>
      <c r="R13" s="135"/>
      <c r="S13" s="136"/>
      <c r="T13" s="137"/>
      <c r="U13" s="135"/>
      <c r="V13" s="135"/>
      <c r="W13" s="138"/>
      <c r="X13" s="20">
        <f t="shared" si="11"/>
        <v>40</v>
      </c>
      <c r="Y13" s="145">
        <f t="shared" si="4"/>
        <v>40</v>
      </c>
      <c r="Z13" s="148"/>
      <c r="AA13" s="49">
        <f t="shared" si="7"/>
        <v>0</v>
      </c>
      <c r="AB13" s="49">
        <v>40</v>
      </c>
      <c r="AC13" s="132">
        <v>60</v>
      </c>
      <c r="AD13" s="135"/>
      <c r="AE13" s="135"/>
      <c r="AF13" s="147">
        <f t="shared" si="13"/>
        <v>0.0595238095238095</v>
      </c>
      <c r="AG13" s="155">
        <f t="shared" si="12"/>
        <v>0.151515151515152</v>
      </c>
    </row>
    <row r="14" s="6" customFormat="1" ht="22.2" customHeight="1" spans="1:33">
      <c r="A14" s="119"/>
      <c r="B14" s="120"/>
      <c r="C14" s="49"/>
      <c r="D14" s="49"/>
      <c r="E14" s="49">
        <v>0</v>
      </c>
      <c r="F14" s="49">
        <f t="shared" si="8"/>
        <v>0</v>
      </c>
      <c r="G14" s="22">
        <f t="shared" si="9"/>
        <v>0</v>
      </c>
      <c r="H14" s="22">
        <v>7</v>
      </c>
      <c r="I14" s="22">
        <v>8</v>
      </c>
      <c r="J14" s="22">
        <v>9</v>
      </c>
      <c r="K14" s="130">
        <f t="shared" si="0"/>
        <v>1</v>
      </c>
      <c r="L14" s="22">
        <f t="shared" si="10"/>
        <v>-40</v>
      </c>
      <c r="M14" s="22">
        <f t="shared" si="1"/>
        <v>56</v>
      </c>
      <c r="N14" s="131">
        <f t="shared" si="2"/>
        <v>56</v>
      </c>
      <c r="O14" s="132"/>
      <c r="P14" s="132"/>
      <c r="Q14" s="132"/>
      <c r="R14" s="135"/>
      <c r="S14" s="136"/>
      <c r="T14" s="137"/>
      <c r="U14" s="135"/>
      <c r="V14" s="135"/>
      <c r="W14" s="138"/>
      <c r="X14" s="20">
        <f t="shared" si="11"/>
        <v>56</v>
      </c>
      <c r="Y14" s="145">
        <f t="shared" si="4"/>
        <v>56</v>
      </c>
      <c r="Z14" s="148"/>
      <c r="AA14" s="49">
        <f t="shared" si="7"/>
        <v>0</v>
      </c>
      <c r="AB14" s="49">
        <v>40</v>
      </c>
      <c r="AC14" s="132">
        <v>60</v>
      </c>
      <c r="AD14" s="135"/>
      <c r="AE14" s="135"/>
      <c r="AF14" s="147">
        <f t="shared" si="13"/>
        <v>0.0833333333333333</v>
      </c>
      <c r="AG14" s="155">
        <f t="shared" si="12"/>
        <v>0.212121212121212</v>
      </c>
    </row>
    <row r="15" s="6" customFormat="1" ht="22.2" customHeight="1" spans="1:33">
      <c r="A15" s="119"/>
      <c r="B15" s="121"/>
      <c r="C15" s="49"/>
      <c r="D15" s="49"/>
      <c r="E15" s="49">
        <v>0</v>
      </c>
      <c r="F15" s="49">
        <f t="shared" si="8"/>
        <v>0</v>
      </c>
      <c r="G15" s="22">
        <f t="shared" si="9"/>
        <v>0</v>
      </c>
      <c r="H15" s="22">
        <v>1</v>
      </c>
      <c r="I15" s="22">
        <v>3</v>
      </c>
      <c r="J15" s="22">
        <v>8</v>
      </c>
      <c r="K15" s="130">
        <f t="shared" si="0"/>
        <v>0.142857142857143</v>
      </c>
      <c r="L15" s="22">
        <f t="shared" si="10"/>
        <v>-40</v>
      </c>
      <c r="M15" s="22">
        <f t="shared" si="1"/>
        <v>8</v>
      </c>
      <c r="N15" s="131">
        <f t="shared" si="2"/>
        <v>8</v>
      </c>
      <c r="O15" s="132"/>
      <c r="P15" s="132"/>
      <c r="Q15" s="132"/>
      <c r="R15" s="135"/>
      <c r="S15" s="136"/>
      <c r="T15" s="137"/>
      <c r="U15" s="135"/>
      <c r="V15" s="135"/>
      <c r="W15" s="138"/>
      <c r="X15" s="20">
        <f t="shared" si="11"/>
        <v>8</v>
      </c>
      <c r="Y15" s="145">
        <f t="shared" si="4"/>
        <v>8</v>
      </c>
      <c r="Z15" s="149"/>
      <c r="AA15" s="49">
        <f t="shared" si="7"/>
        <v>0</v>
      </c>
      <c r="AB15" s="49">
        <v>40</v>
      </c>
      <c r="AC15" s="132">
        <v>60</v>
      </c>
      <c r="AD15" s="135"/>
      <c r="AE15" s="135"/>
      <c r="AF15" s="147">
        <f t="shared" si="13"/>
        <v>0.0119047619047619</v>
      </c>
      <c r="AG15" s="155">
        <f t="shared" si="12"/>
        <v>0.0303030303030303</v>
      </c>
    </row>
    <row r="16" s="1" customFormat="1" ht="18.6" customHeight="1" spans="1:33">
      <c r="A16" s="122" t="s">
        <v>21</v>
      </c>
      <c r="B16" s="85"/>
      <c r="C16" s="123">
        <f>SUM(C4:C15)</f>
        <v>0</v>
      </c>
      <c r="D16" s="123">
        <f>SUM(D4:D15)</f>
        <v>0</v>
      </c>
      <c r="E16" s="123">
        <f>SUM(E5:E6)</f>
        <v>0</v>
      </c>
      <c r="F16" s="123">
        <f>SUM(F4:F15)</f>
        <v>0</v>
      </c>
      <c r="G16" s="123"/>
      <c r="H16" s="124">
        <f>SUM(H4:H15)</f>
        <v>84</v>
      </c>
      <c r="I16" s="124">
        <f>SUM(I4:I15)</f>
        <v>122</v>
      </c>
      <c r="J16" s="124">
        <f>SUM(J4:J15)</f>
        <v>187</v>
      </c>
      <c r="K16" s="123"/>
      <c r="L16" s="133"/>
      <c r="M16" s="123"/>
      <c r="N16" s="123">
        <f>SUM(N4:N15)</f>
        <v>672</v>
      </c>
      <c r="O16" s="123">
        <f>SUM(O5:O6)</f>
        <v>0</v>
      </c>
      <c r="P16" s="123">
        <f>SUM(P5:P6)</f>
        <v>0</v>
      </c>
      <c r="Q16" s="123">
        <f>SUM(Q5:Q6)</f>
        <v>0</v>
      </c>
      <c r="R16" s="98"/>
      <c r="S16" s="123">
        <f>SUM(S5:S6)</f>
        <v>0</v>
      </c>
      <c r="T16" s="123"/>
      <c r="U16" s="123"/>
      <c r="V16" s="123"/>
      <c r="W16" s="123"/>
      <c r="X16" s="123"/>
      <c r="Y16" s="124">
        <f>SUM(Y4:Y15)</f>
        <v>672</v>
      </c>
      <c r="Z16" s="124">
        <f>SUM(Z4:Z15)</f>
        <v>264</v>
      </c>
      <c r="AA16" s="123">
        <f>SUM(AA4:AA15)</f>
        <v>0</v>
      </c>
      <c r="AB16" s="98"/>
      <c r="AC16" s="98"/>
      <c r="AD16" s="150"/>
      <c r="AE16" s="100"/>
      <c r="AF16" s="151"/>
      <c r="AG16" s="156"/>
    </row>
  </sheetData>
  <mergeCells count="5">
    <mergeCell ref="B2:M2"/>
    <mergeCell ref="O2:V2"/>
    <mergeCell ref="Z4:Z7"/>
    <mergeCell ref="Z8:Z11"/>
    <mergeCell ref="Z12:Z15"/>
  </mergeCells>
  <conditionalFormatting sqref="B4">
    <cfRule type="duplicateValues" dxfId="0" priority="2"/>
  </conditionalFormatting>
  <conditionalFormatting sqref="B16">
    <cfRule type="duplicateValues" dxfId="0" priority="80"/>
  </conditionalFormatting>
  <conditionalFormatting sqref="B5:B15">
    <cfRule type="duplicateValues" dxfId="0" priority="86"/>
  </conditionalFormatting>
  <printOptions horizontalCentered="1"/>
  <pageMargins left="0" right="0" top="0.748031496062992" bottom="0.748031496062992" header="0.31496062992126" footer="0.3149606299212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"/>
  <sheetViews>
    <sheetView workbookViewId="0">
      <selection activeCell="D32" sqref="D32"/>
    </sheetView>
  </sheetViews>
  <sheetFormatPr defaultColWidth="9" defaultRowHeight="13.8" outlineLevelRow="2"/>
  <cols>
    <col min="1" max="1" width="16.3333333333333" customWidth="1"/>
    <col min="12" max="12" width="4.44444444444444" customWidth="1"/>
    <col min="13" max="13" width="5" customWidth="1"/>
  </cols>
  <sheetData>
    <row r="1" spans="1:33">
      <c r="A1" t="s">
        <v>29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45</v>
      </c>
      <c r="R1" t="s">
        <v>46</v>
      </c>
      <c r="S1" t="s">
        <v>47</v>
      </c>
      <c r="T1" t="s">
        <v>48</v>
      </c>
      <c r="U1" t="s">
        <v>49</v>
      </c>
      <c r="V1" t="s">
        <v>50</v>
      </c>
      <c r="W1" t="s">
        <v>51</v>
      </c>
      <c r="X1" t="s">
        <v>52</v>
      </c>
      <c r="Y1" t="s">
        <v>53</v>
      </c>
      <c r="Z1" t="s">
        <v>54</v>
      </c>
      <c r="AA1" t="s">
        <v>55</v>
      </c>
      <c r="AB1" t="s">
        <v>56</v>
      </c>
      <c r="AC1" t="s">
        <v>57</v>
      </c>
      <c r="AD1" t="s">
        <v>58</v>
      </c>
      <c r="AE1" t="s">
        <v>59</v>
      </c>
      <c r="AF1" t="s">
        <v>60</v>
      </c>
      <c r="AG1" t="s">
        <v>61</v>
      </c>
    </row>
    <row r="3" spans="1:1">
      <c r="A3" t="s">
        <v>62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"/>
  <sheetViews>
    <sheetView workbookViewId="0">
      <selection activeCell="A3" sqref="A3"/>
    </sheetView>
  </sheetViews>
  <sheetFormatPr defaultColWidth="9" defaultRowHeight="13.8" outlineLevelRow="2"/>
  <sheetData>
    <row r="1" spans="1:33">
      <c r="A1" t="s">
        <v>29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45</v>
      </c>
      <c r="R1" t="s">
        <v>46</v>
      </c>
      <c r="S1" t="s">
        <v>47</v>
      </c>
      <c r="T1" t="s">
        <v>48</v>
      </c>
      <c r="U1" t="s">
        <v>49</v>
      </c>
      <c r="V1" t="s">
        <v>50</v>
      </c>
      <c r="W1" t="s">
        <v>51</v>
      </c>
      <c r="X1" t="s">
        <v>52</v>
      </c>
      <c r="Y1" t="s">
        <v>53</v>
      </c>
      <c r="Z1" t="s">
        <v>54</v>
      </c>
      <c r="AA1" t="s">
        <v>55</v>
      </c>
      <c r="AB1" t="s">
        <v>56</v>
      </c>
      <c r="AC1" t="s">
        <v>57</v>
      </c>
      <c r="AD1" t="s">
        <v>58</v>
      </c>
      <c r="AE1" t="s">
        <v>59</v>
      </c>
      <c r="AF1" t="s">
        <v>60</v>
      </c>
      <c r="AG1" t="s">
        <v>61</v>
      </c>
    </row>
    <row r="3" spans="1:1">
      <c r="A3" t="s">
        <v>62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"/>
  <sheetViews>
    <sheetView workbookViewId="0">
      <selection activeCell="A3" sqref="A3"/>
    </sheetView>
  </sheetViews>
  <sheetFormatPr defaultColWidth="9" defaultRowHeight="13.8" outlineLevelRow="2"/>
  <sheetData>
    <row r="1" spans="1:33">
      <c r="A1" t="s">
        <v>29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45</v>
      </c>
      <c r="R1" t="s">
        <v>46</v>
      </c>
      <c r="S1" t="s">
        <v>47</v>
      </c>
      <c r="T1" t="s">
        <v>48</v>
      </c>
      <c r="U1" t="s">
        <v>49</v>
      </c>
      <c r="V1" t="s">
        <v>50</v>
      </c>
      <c r="W1" t="s">
        <v>51</v>
      </c>
      <c r="X1" t="s">
        <v>52</v>
      </c>
      <c r="Y1" t="s">
        <v>53</v>
      </c>
      <c r="Z1" t="s">
        <v>54</v>
      </c>
      <c r="AA1" t="s">
        <v>55</v>
      </c>
      <c r="AB1" t="s">
        <v>56</v>
      </c>
      <c r="AC1" t="s">
        <v>57</v>
      </c>
      <c r="AD1" t="s">
        <v>58</v>
      </c>
      <c r="AE1" t="s">
        <v>59</v>
      </c>
      <c r="AF1" t="s">
        <v>60</v>
      </c>
      <c r="AG1" t="s">
        <v>61</v>
      </c>
    </row>
    <row r="3" spans="1:1">
      <c r="A3" t="s">
        <v>62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workbookViewId="0">
      <selection activeCell="A4" sqref="A4"/>
    </sheetView>
  </sheetViews>
  <sheetFormatPr defaultColWidth="8.88888888888889" defaultRowHeight="13.8" outlineLevelRow="2"/>
  <sheetData>
    <row r="1" s="107" customFormat="1" ht="52" customHeight="1" spans="1:21">
      <c r="A1" s="107" t="s">
        <v>40</v>
      </c>
      <c r="B1" s="107" t="s">
        <v>63</v>
      </c>
      <c r="C1" s="107" t="s">
        <v>41</v>
      </c>
      <c r="D1" s="107" t="s">
        <v>39</v>
      </c>
      <c r="E1" s="107" t="s">
        <v>64</v>
      </c>
      <c r="F1" s="107" t="s">
        <v>65</v>
      </c>
      <c r="G1" s="107" t="s">
        <v>66</v>
      </c>
      <c r="H1" s="107" t="s">
        <v>67</v>
      </c>
      <c r="I1" s="107" t="s">
        <v>68</v>
      </c>
      <c r="J1" s="107" t="s">
        <v>69</v>
      </c>
      <c r="K1" s="107" t="s">
        <v>70</v>
      </c>
      <c r="L1" s="107" t="s">
        <v>71</v>
      </c>
      <c r="M1" s="107" t="s">
        <v>72</v>
      </c>
      <c r="N1" s="107" t="s">
        <v>73</v>
      </c>
      <c r="O1" s="107" t="s">
        <v>74</v>
      </c>
      <c r="P1" s="107" t="s">
        <v>75</v>
      </c>
      <c r="Q1" s="107" t="s">
        <v>76</v>
      </c>
      <c r="R1" s="107" t="s">
        <v>77</v>
      </c>
      <c r="S1" s="107" t="s">
        <v>78</v>
      </c>
      <c r="T1" s="107" t="s">
        <v>79</v>
      </c>
      <c r="U1" s="107" t="s">
        <v>80</v>
      </c>
    </row>
    <row r="3" spans="1:1">
      <c r="A3" t="s">
        <v>81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44"/>
  <sheetViews>
    <sheetView topLeftCell="A13" workbookViewId="0">
      <selection activeCell="G46" sqref="G46"/>
    </sheetView>
  </sheetViews>
  <sheetFormatPr defaultColWidth="9" defaultRowHeight="13.8"/>
  <cols>
    <col min="2" max="2" width="16.6666666666667" customWidth="1"/>
    <col min="3" max="3" width="8" customWidth="1"/>
    <col min="5" max="5" width="8" customWidth="1"/>
    <col min="6" max="6" width="9.66666666666667" customWidth="1"/>
    <col min="9" max="9" width="7" customWidth="1"/>
    <col min="13" max="13" width="8" customWidth="1"/>
    <col min="14" max="14" width="10.7777777777778" customWidth="1"/>
    <col min="15" max="15" width="5.88888888888889" customWidth="1"/>
    <col min="21" max="21" width="6.11111111111111" customWidth="1"/>
  </cols>
  <sheetData>
    <row r="2" ht="24" customHeight="1" spans="13:17">
      <c r="M2" s="88" t="s">
        <v>82</v>
      </c>
      <c r="N2" s="88"/>
      <c r="O2" s="88"/>
      <c r="P2" s="88" t="s">
        <v>1</v>
      </c>
      <c r="Q2" s="88" t="s">
        <v>83</v>
      </c>
    </row>
    <row r="3" ht="38.25" customHeight="1" spans="1:21">
      <c r="A3" s="70" t="s">
        <v>4</v>
      </c>
      <c r="B3" s="70" t="s">
        <v>5</v>
      </c>
      <c r="C3" s="70" t="s">
        <v>84</v>
      </c>
      <c r="D3" s="70" t="s">
        <v>7</v>
      </c>
      <c r="E3" s="70" t="s">
        <v>8</v>
      </c>
      <c r="F3" s="71" t="s">
        <v>85</v>
      </c>
      <c r="G3" s="72" t="s">
        <v>6</v>
      </c>
      <c r="H3" s="72" t="s">
        <v>9</v>
      </c>
      <c r="I3" s="89" t="s">
        <v>10</v>
      </c>
      <c r="J3" s="70" t="s">
        <v>13</v>
      </c>
      <c r="K3" s="70" t="s">
        <v>86</v>
      </c>
      <c r="L3" s="70" t="s">
        <v>87</v>
      </c>
      <c r="M3" s="70" t="s">
        <v>23</v>
      </c>
      <c r="N3" s="70" t="s">
        <v>24</v>
      </c>
      <c r="O3" s="70" t="s">
        <v>14</v>
      </c>
      <c r="P3" s="89" t="s">
        <v>15</v>
      </c>
      <c r="Q3" s="89" t="s">
        <v>88</v>
      </c>
      <c r="R3" s="89" t="s">
        <v>89</v>
      </c>
      <c r="S3" s="89" t="s">
        <v>25</v>
      </c>
      <c r="T3" s="89" t="s">
        <v>90</v>
      </c>
      <c r="U3" s="102" t="s">
        <v>91</v>
      </c>
    </row>
    <row r="4" s="1" customFormat="1" ht="13.2" spans="1:21">
      <c r="A4" s="29"/>
      <c r="B4" s="73" t="s">
        <v>92</v>
      </c>
      <c r="C4" s="74"/>
      <c r="D4" s="75">
        <v>9</v>
      </c>
      <c r="E4" s="75">
        <v>11</v>
      </c>
      <c r="F4" s="76">
        <v>43734</v>
      </c>
      <c r="G4" s="75">
        <v>0</v>
      </c>
      <c r="H4" s="77">
        <f>D4+E4+G4</f>
        <v>20</v>
      </c>
      <c r="I4" s="90">
        <f>(D4+E4)/O4</f>
        <v>49.0654205607477</v>
      </c>
      <c r="J4" s="77">
        <v>8</v>
      </c>
      <c r="K4" s="77">
        <v>7</v>
      </c>
      <c r="L4" s="77">
        <v>3</v>
      </c>
      <c r="M4" s="101">
        <v>20</v>
      </c>
      <c r="N4" s="101">
        <v>90</v>
      </c>
      <c r="O4" s="90">
        <f t="shared" ref="O4:O11" si="0">((J4/30)*0.2)+((K4/15)*0.3)+((L4/7)*0.5)</f>
        <v>0.407619047619048</v>
      </c>
      <c r="P4" s="90">
        <f t="shared" ref="P4:P43" si="1">I4-M4</f>
        <v>29.0654205607477</v>
      </c>
      <c r="Q4" s="90" t="str">
        <f t="shared" ref="Q4:Q11" si="2">IF(D4/O4&gt;25,"否","加急")</f>
        <v>加急</v>
      </c>
      <c r="R4" s="90">
        <f t="shared" ref="R4:R43" si="3">O4*(M4+N4)-D4</f>
        <v>35.8380952380952</v>
      </c>
      <c r="S4" s="90">
        <v>30</v>
      </c>
      <c r="T4" s="90">
        <f>O4*(M4+N4+S4)-H4</f>
        <v>37.0666666666667</v>
      </c>
      <c r="U4" s="103">
        <v>40</v>
      </c>
    </row>
    <row r="5" s="1" customFormat="1" ht="13.2" spans="1:21">
      <c r="A5" s="10"/>
      <c r="B5" s="78" t="s">
        <v>93</v>
      </c>
      <c r="C5" s="79"/>
      <c r="D5" s="80">
        <v>3</v>
      </c>
      <c r="E5" s="80">
        <v>24</v>
      </c>
      <c r="F5" s="81">
        <v>43734</v>
      </c>
      <c r="G5" s="80">
        <v>0</v>
      </c>
      <c r="H5" s="82">
        <f t="shared" ref="H5:H43" si="4">D5+E5+G5</f>
        <v>27</v>
      </c>
      <c r="I5" s="94">
        <f t="shared" ref="I5:I43" si="5">(D5+E5)/O5</f>
        <v>68.4782608695652</v>
      </c>
      <c r="J5" s="82">
        <v>9</v>
      </c>
      <c r="K5" s="82">
        <v>6</v>
      </c>
      <c r="L5" s="82">
        <v>3</v>
      </c>
      <c r="M5" s="92">
        <v>20</v>
      </c>
      <c r="N5" s="92">
        <v>90</v>
      </c>
      <c r="O5" s="94">
        <f t="shared" si="0"/>
        <v>0.394285714285714</v>
      </c>
      <c r="P5" s="94">
        <f t="shared" si="1"/>
        <v>48.4782608695652</v>
      </c>
      <c r="Q5" s="94" t="str">
        <f t="shared" si="2"/>
        <v>加急</v>
      </c>
      <c r="R5" s="94">
        <f t="shared" si="3"/>
        <v>40.3714285714286</v>
      </c>
      <c r="S5" s="94">
        <v>30</v>
      </c>
      <c r="T5" s="94">
        <f t="shared" ref="T5:T43" si="6">O5*(M5+N5+S5)-H5</f>
        <v>28.2</v>
      </c>
      <c r="U5" s="104">
        <v>30</v>
      </c>
    </row>
    <row r="6" s="1" customFormat="1" ht="13.2" spans="1:21">
      <c r="A6" s="10"/>
      <c r="B6" s="78" t="s">
        <v>94</v>
      </c>
      <c r="C6" s="79"/>
      <c r="D6" s="80">
        <v>24</v>
      </c>
      <c r="E6" s="80">
        <v>10</v>
      </c>
      <c r="F6" s="81">
        <v>43734</v>
      </c>
      <c r="G6" s="80">
        <v>0</v>
      </c>
      <c r="H6" s="82">
        <f t="shared" si="4"/>
        <v>34</v>
      </c>
      <c r="I6" s="94">
        <f t="shared" si="5"/>
        <v>324.545454545455</v>
      </c>
      <c r="J6" s="82">
        <v>2</v>
      </c>
      <c r="K6" s="82">
        <v>1</v>
      </c>
      <c r="L6" s="82">
        <v>1</v>
      </c>
      <c r="M6" s="92">
        <v>20</v>
      </c>
      <c r="N6" s="92">
        <v>90</v>
      </c>
      <c r="O6" s="94">
        <f t="shared" si="0"/>
        <v>0.104761904761905</v>
      </c>
      <c r="P6" s="94">
        <f t="shared" si="1"/>
        <v>304.545454545455</v>
      </c>
      <c r="Q6" s="94" t="str">
        <f t="shared" si="2"/>
        <v>否</v>
      </c>
      <c r="R6" s="94">
        <f t="shared" si="3"/>
        <v>-12.4761904761905</v>
      </c>
      <c r="S6" s="94">
        <v>30</v>
      </c>
      <c r="T6" s="94">
        <f t="shared" si="6"/>
        <v>-19.3333333333333</v>
      </c>
      <c r="U6" s="104"/>
    </row>
    <row r="7" s="1" customFormat="1" ht="13.2" spans="1:21">
      <c r="A7" s="10"/>
      <c r="B7" s="78" t="s">
        <v>95</v>
      </c>
      <c r="C7" s="79"/>
      <c r="D7" s="80">
        <v>13</v>
      </c>
      <c r="E7" s="80">
        <v>0</v>
      </c>
      <c r="F7" s="81">
        <v>43734</v>
      </c>
      <c r="G7" s="80">
        <v>0</v>
      </c>
      <c r="H7" s="82">
        <f t="shared" si="4"/>
        <v>13</v>
      </c>
      <c r="I7" s="94">
        <f t="shared" si="5"/>
        <v>15.6357388316151</v>
      </c>
      <c r="J7" s="82">
        <v>12</v>
      </c>
      <c r="K7" s="82">
        <v>9</v>
      </c>
      <c r="L7" s="82">
        <v>8</v>
      </c>
      <c r="M7" s="92">
        <v>20</v>
      </c>
      <c r="N7" s="92">
        <v>90</v>
      </c>
      <c r="O7" s="94">
        <f t="shared" si="0"/>
        <v>0.831428571428571</v>
      </c>
      <c r="P7" s="94">
        <f t="shared" si="1"/>
        <v>-4.36426116838488</v>
      </c>
      <c r="Q7" s="94" t="str">
        <f t="shared" si="2"/>
        <v>加急</v>
      </c>
      <c r="R7" s="94">
        <f t="shared" si="3"/>
        <v>78.4571428571429</v>
      </c>
      <c r="S7" s="94">
        <v>30</v>
      </c>
      <c r="T7" s="94">
        <f t="shared" si="6"/>
        <v>103.4</v>
      </c>
      <c r="U7" s="104">
        <v>105</v>
      </c>
    </row>
    <row r="8" s="1" customFormat="1" ht="13.2" spans="1:21">
      <c r="A8" s="10"/>
      <c r="B8" s="78" t="s">
        <v>96</v>
      </c>
      <c r="C8" s="79"/>
      <c r="D8" s="80">
        <v>30</v>
      </c>
      <c r="E8" s="80">
        <v>60</v>
      </c>
      <c r="F8" s="81">
        <v>43734</v>
      </c>
      <c r="G8" s="80">
        <v>28</v>
      </c>
      <c r="H8" s="82">
        <f t="shared" si="4"/>
        <v>118</v>
      </c>
      <c r="I8" s="94">
        <f t="shared" si="5"/>
        <v>59.7722960151803</v>
      </c>
      <c r="J8" s="82">
        <v>48</v>
      </c>
      <c r="K8" s="82">
        <v>20</v>
      </c>
      <c r="L8" s="82">
        <v>11</v>
      </c>
      <c r="M8" s="92">
        <v>20</v>
      </c>
      <c r="N8" s="92">
        <v>90</v>
      </c>
      <c r="O8" s="94">
        <f t="shared" si="0"/>
        <v>1.50571428571429</v>
      </c>
      <c r="P8" s="94">
        <f t="shared" si="1"/>
        <v>39.7722960151803</v>
      </c>
      <c r="Q8" s="94" t="str">
        <f t="shared" si="2"/>
        <v>加急</v>
      </c>
      <c r="R8" s="94">
        <f t="shared" si="3"/>
        <v>135.628571428571</v>
      </c>
      <c r="S8" s="94">
        <v>30</v>
      </c>
      <c r="T8" s="94">
        <f t="shared" si="6"/>
        <v>92.8</v>
      </c>
      <c r="U8" s="104">
        <v>100</v>
      </c>
    </row>
    <row r="9" s="1" customFormat="1" ht="13.2" spans="1:21">
      <c r="A9" s="10"/>
      <c r="B9" s="78" t="s">
        <v>97</v>
      </c>
      <c r="C9" s="79"/>
      <c r="D9" s="80">
        <v>48</v>
      </c>
      <c r="E9" s="80">
        <v>25</v>
      </c>
      <c r="F9" s="81">
        <v>43734</v>
      </c>
      <c r="G9" s="80">
        <v>66</v>
      </c>
      <c r="H9" s="82">
        <f t="shared" si="4"/>
        <v>139</v>
      </c>
      <c r="I9" s="94">
        <f t="shared" si="5"/>
        <v>41.2096774193548</v>
      </c>
      <c r="J9" s="82">
        <v>36</v>
      </c>
      <c r="K9" s="82">
        <v>23</v>
      </c>
      <c r="L9" s="82">
        <v>15</v>
      </c>
      <c r="M9" s="92">
        <v>20</v>
      </c>
      <c r="N9" s="92">
        <v>90</v>
      </c>
      <c r="O9" s="94">
        <f t="shared" si="0"/>
        <v>1.77142857142857</v>
      </c>
      <c r="P9" s="94">
        <f t="shared" si="1"/>
        <v>21.2096774193548</v>
      </c>
      <c r="Q9" s="94" t="str">
        <f t="shared" si="2"/>
        <v>否</v>
      </c>
      <c r="R9" s="94">
        <f t="shared" si="3"/>
        <v>146.857142857143</v>
      </c>
      <c r="S9" s="94">
        <v>30</v>
      </c>
      <c r="T9" s="94">
        <f t="shared" si="6"/>
        <v>109</v>
      </c>
      <c r="U9" s="104">
        <v>110</v>
      </c>
    </row>
    <row r="10" s="1" customFormat="1" ht="13.2" spans="1:21">
      <c r="A10" s="10"/>
      <c r="B10" s="78" t="s">
        <v>98</v>
      </c>
      <c r="C10" s="79"/>
      <c r="D10" s="80">
        <v>29</v>
      </c>
      <c r="E10" s="80">
        <v>40</v>
      </c>
      <c r="F10" s="81">
        <v>43734</v>
      </c>
      <c r="G10" s="80">
        <v>53</v>
      </c>
      <c r="H10" s="82">
        <f t="shared" si="4"/>
        <v>122</v>
      </c>
      <c r="I10" s="94">
        <f t="shared" si="5"/>
        <v>39.2045454545455</v>
      </c>
      <c r="J10" s="82">
        <v>42</v>
      </c>
      <c r="K10" s="82">
        <v>24</v>
      </c>
      <c r="L10" s="82">
        <v>14</v>
      </c>
      <c r="M10" s="92">
        <v>20</v>
      </c>
      <c r="N10" s="92">
        <v>90</v>
      </c>
      <c r="O10" s="94">
        <f t="shared" si="0"/>
        <v>1.76</v>
      </c>
      <c r="P10" s="94">
        <f t="shared" si="1"/>
        <v>19.2045454545455</v>
      </c>
      <c r="Q10" s="94" t="str">
        <f t="shared" si="2"/>
        <v>加急</v>
      </c>
      <c r="R10" s="94">
        <f t="shared" si="3"/>
        <v>164.6</v>
      </c>
      <c r="S10" s="94">
        <v>30</v>
      </c>
      <c r="T10" s="94">
        <f t="shared" si="6"/>
        <v>124.4</v>
      </c>
      <c r="U10" s="104">
        <v>130</v>
      </c>
    </row>
    <row r="11" s="1" customFormat="1" ht="13.95" spans="1:21">
      <c r="A11" s="23"/>
      <c r="B11" s="83" t="s">
        <v>99</v>
      </c>
      <c r="C11" s="84"/>
      <c r="D11" s="85">
        <v>31</v>
      </c>
      <c r="E11" s="85">
        <v>23</v>
      </c>
      <c r="F11" s="86">
        <v>43734</v>
      </c>
      <c r="G11" s="85">
        <v>0</v>
      </c>
      <c r="H11" s="87">
        <f t="shared" si="4"/>
        <v>54</v>
      </c>
      <c r="I11" s="94">
        <f t="shared" si="5"/>
        <v>68.8942891859052</v>
      </c>
      <c r="J11" s="87">
        <v>28</v>
      </c>
      <c r="K11" s="87">
        <v>12</v>
      </c>
      <c r="L11" s="87">
        <v>5</v>
      </c>
      <c r="M11" s="98">
        <v>20</v>
      </c>
      <c r="N11" s="98">
        <v>90</v>
      </c>
      <c r="O11" s="100">
        <f t="shared" si="0"/>
        <v>0.783809523809524</v>
      </c>
      <c r="P11" s="100">
        <f t="shared" si="1"/>
        <v>48.8942891859052</v>
      </c>
      <c r="Q11" s="100" t="str">
        <f t="shared" si="2"/>
        <v>否</v>
      </c>
      <c r="R11" s="100">
        <f t="shared" si="3"/>
        <v>55.2190476190476</v>
      </c>
      <c r="S11" s="100">
        <v>30</v>
      </c>
      <c r="T11" s="100">
        <f t="shared" si="6"/>
        <v>55.7333333333333</v>
      </c>
      <c r="U11" s="105">
        <v>60</v>
      </c>
    </row>
    <row r="12" s="1" customFormat="1" ht="13.2" spans="1:21">
      <c r="A12" s="29"/>
      <c r="B12" s="73" t="s">
        <v>100</v>
      </c>
      <c r="C12" s="74"/>
      <c r="D12" s="75">
        <v>17</v>
      </c>
      <c r="E12" s="75">
        <v>0</v>
      </c>
      <c r="F12" s="76">
        <v>43734</v>
      </c>
      <c r="G12" s="75">
        <v>23</v>
      </c>
      <c r="H12" s="77">
        <f t="shared" si="4"/>
        <v>40</v>
      </c>
      <c r="I12" s="90">
        <f t="shared" si="5"/>
        <v>88.8059701492537</v>
      </c>
      <c r="J12" s="77">
        <v>9</v>
      </c>
      <c r="K12" s="77">
        <v>3</v>
      </c>
      <c r="L12" s="77">
        <v>1</v>
      </c>
      <c r="M12" s="101">
        <v>20</v>
      </c>
      <c r="N12" s="101">
        <v>90</v>
      </c>
      <c r="O12" s="90">
        <f t="shared" ref="O12:O43" si="7">((J12/30)*0.2)+((K12/15)*0.3)+((L12/7)*0.5)</f>
        <v>0.191428571428571</v>
      </c>
      <c r="P12" s="90">
        <f t="shared" si="1"/>
        <v>68.8059701492537</v>
      </c>
      <c r="Q12" s="90" t="str">
        <f t="shared" ref="Q12:Q43" si="8">IF(D12/O12&gt;25,"否","加急")</f>
        <v>否</v>
      </c>
      <c r="R12" s="90">
        <f t="shared" si="3"/>
        <v>4.05714285714286</v>
      </c>
      <c r="S12" s="90">
        <v>30</v>
      </c>
      <c r="T12" s="90">
        <f t="shared" si="6"/>
        <v>-13.2</v>
      </c>
      <c r="U12" s="103"/>
    </row>
    <row r="13" s="1" customFormat="1" ht="13.2" spans="1:21">
      <c r="A13" s="10"/>
      <c r="B13" s="78" t="s">
        <v>101</v>
      </c>
      <c r="C13" s="79"/>
      <c r="D13" s="80">
        <v>1</v>
      </c>
      <c r="E13" s="80">
        <v>20</v>
      </c>
      <c r="F13" s="81">
        <v>43734</v>
      </c>
      <c r="G13" s="80">
        <v>12</v>
      </c>
      <c r="H13" s="82">
        <f t="shared" si="4"/>
        <v>33</v>
      </c>
      <c r="I13" s="94">
        <f t="shared" si="5"/>
        <v>630</v>
      </c>
      <c r="J13" s="82">
        <v>5</v>
      </c>
      <c r="K13" s="82">
        <v>0</v>
      </c>
      <c r="L13" s="82">
        <v>0</v>
      </c>
      <c r="M13" s="92">
        <v>20</v>
      </c>
      <c r="N13" s="92">
        <v>90</v>
      </c>
      <c r="O13" s="94">
        <f t="shared" si="7"/>
        <v>0.0333333333333333</v>
      </c>
      <c r="P13" s="94">
        <f t="shared" si="1"/>
        <v>610</v>
      </c>
      <c r="Q13" s="94" t="str">
        <f t="shared" si="8"/>
        <v>否</v>
      </c>
      <c r="R13" s="94">
        <f t="shared" si="3"/>
        <v>2.66666666666667</v>
      </c>
      <c r="S13" s="94">
        <v>30</v>
      </c>
      <c r="T13" s="94">
        <f t="shared" si="6"/>
        <v>-28.3333333333333</v>
      </c>
      <c r="U13" s="104"/>
    </row>
    <row r="14" s="1" customFormat="1" ht="13.2" spans="1:21">
      <c r="A14" s="10"/>
      <c r="B14" s="78" t="s">
        <v>102</v>
      </c>
      <c r="C14" s="79"/>
      <c r="D14" s="80">
        <v>3</v>
      </c>
      <c r="E14" s="80">
        <v>0</v>
      </c>
      <c r="F14" s="81">
        <v>43734</v>
      </c>
      <c r="G14" s="80">
        <v>9</v>
      </c>
      <c r="H14" s="82">
        <f t="shared" si="4"/>
        <v>12</v>
      </c>
      <c r="I14" s="94">
        <f t="shared" si="5"/>
        <v>13.0705394190871</v>
      </c>
      <c r="J14" s="82">
        <v>7</v>
      </c>
      <c r="K14" s="82">
        <v>2</v>
      </c>
      <c r="L14" s="82">
        <v>2</v>
      </c>
      <c r="M14" s="92">
        <v>20</v>
      </c>
      <c r="N14" s="92">
        <v>90</v>
      </c>
      <c r="O14" s="94">
        <f t="shared" si="7"/>
        <v>0.22952380952381</v>
      </c>
      <c r="P14" s="94">
        <f t="shared" si="1"/>
        <v>-6.92946058091286</v>
      </c>
      <c r="Q14" s="94" t="str">
        <f t="shared" si="8"/>
        <v>加急</v>
      </c>
      <c r="R14" s="94">
        <f t="shared" si="3"/>
        <v>22.247619047619</v>
      </c>
      <c r="S14" s="94">
        <v>30</v>
      </c>
      <c r="T14" s="94">
        <f t="shared" si="6"/>
        <v>20.1333333333333</v>
      </c>
      <c r="U14" s="104">
        <v>20</v>
      </c>
    </row>
    <row r="15" s="1" customFormat="1" ht="13.2" spans="1:21">
      <c r="A15" s="10"/>
      <c r="B15" s="78" t="s">
        <v>103</v>
      </c>
      <c r="C15" s="79"/>
      <c r="D15" s="80">
        <v>4</v>
      </c>
      <c r="E15" s="80">
        <v>0</v>
      </c>
      <c r="F15" s="81">
        <v>43734</v>
      </c>
      <c r="G15" s="80">
        <v>34</v>
      </c>
      <c r="H15" s="82">
        <f t="shared" si="4"/>
        <v>38</v>
      </c>
      <c r="I15" s="94">
        <f t="shared" si="5"/>
        <v>9.11062906724512</v>
      </c>
      <c r="J15" s="82">
        <v>8</v>
      </c>
      <c r="K15" s="82">
        <v>5</v>
      </c>
      <c r="L15" s="82">
        <v>4</v>
      </c>
      <c r="M15" s="92">
        <v>20</v>
      </c>
      <c r="N15" s="92">
        <v>90</v>
      </c>
      <c r="O15" s="94">
        <f t="shared" si="7"/>
        <v>0.439047619047619</v>
      </c>
      <c r="P15" s="94">
        <f t="shared" si="1"/>
        <v>-10.8893709327549</v>
      </c>
      <c r="Q15" s="94" t="str">
        <f t="shared" si="8"/>
        <v>加急</v>
      </c>
      <c r="R15" s="94">
        <f t="shared" si="3"/>
        <v>44.2952380952381</v>
      </c>
      <c r="S15" s="94">
        <v>30</v>
      </c>
      <c r="T15" s="94">
        <f t="shared" si="6"/>
        <v>23.4666666666667</v>
      </c>
      <c r="U15" s="104">
        <v>25</v>
      </c>
    </row>
    <row r="16" s="1" customFormat="1" ht="13.2" spans="1:21">
      <c r="A16" s="10"/>
      <c r="B16" s="78" t="s">
        <v>104</v>
      </c>
      <c r="C16" s="79"/>
      <c r="D16" s="80">
        <v>6</v>
      </c>
      <c r="E16" s="80">
        <v>0</v>
      </c>
      <c r="F16" s="81">
        <v>43734</v>
      </c>
      <c r="G16" s="80">
        <v>12</v>
      </c>
      <c r="H16" s="82">
        <f t="shared" si="4"/>
        <v>18</v>
      </c>
      <c r="I16" s="94">
        <f t="shared" si="5"/>
        <v>30.5825242718447</v>
      </c>
      <c r="J16" s="82">
        <v>2</v>
      </c>
      <c r="K16" s="82">
        <v>2</v>
      </c>
      <c r="L16" s="82">
        <v>2</v>
      </c>
      <c r="M16" s="92">
        <v>20</v>
      </c>
      <c r="N16" s="92">
        <v>90</v>
      </c>
      <c r="O16" s="94">
        <f t="shared" si="7"/>
        <v>0.196190476190476</v>
      </c>
      <c r="P16" s="94">
        <f t="shared" si="1"/>
        <v>10.5825242718447</v>
      </c>
      <c r="Q16" s="94" t="str">
        <f t="shared" si="8"/>
        <v>否</v>
      </c>
      <c r="R16" s="94">
        <f t="shared" si="3"/>
        <v>15.5809523809524</v>
      </c>
      <c r="S16" s="94">
        <v>30</v>
      </c>
      <c r="T16" s="94">
        <f t="shared" si="6"/>
        <v>9.46666666666667</v>
      </c>
      <c r="U16" s="104">
        <v>10</v>
      </c>
    </row>
    <row r="17" s="1" customFormat="1" ht="13.2" spans="1:21">
      <c r="A17" s="10"/>
      <c r="B17" s="78" t="s">
        <v>105</v>
      </c>
      <c r="C17" s="79"/>
      <c r="D17" s="80">
        <v>6</v>
      </c>
      <c r="E17" s="80">
        <v>0</v>
      </c>
      <c r="F17" s="81">
        <v>43734</v>
      </c>
      <c r="G17" s="80">
        <v>6</v>
      </c>
      <c r="H17" s="82">
        <f t="shared" si="4"/>
        <v>12</v>
      </c>
      <c r="I17" s="94" t="e">
        <f t="shared" si="5"/>
        <v>#DIV/0!</v>
      </c>
      <c r="J17" s="82">
        <v>0</v>
      </c>
      <c r="K17" s="82">
        <v>0</v>
      </c>
      <c r="L17" s="82">
        <v>0</v>
      </c>
      <c r="M17" s="92">
        <v>20</v>
      </c>
      <c r="N17" s="92">
        <v>90</v>
      </c>
      <c r="O17" s="94">
        <f t="shared" si="7"/>
        <v>0</v>
      </c>
      <c r="P17" s="94" t="e">
        <f t="shared" si="1"/>
        <v>#DIV/0!</v>
      </c>
      <c r="Q17" s="94" t="e">
        <f t="shared" si="8"/>
        <v>#DIV/0!</v>
      </c>
      <c r="R17" s="94">
        <f t="shared" si="3"/>
        <v>-6</v>
      </c>
      <c r="S17" s="94">
        <v>30</v>
      </c>
      <c r="T17" s="94">
        <f t="shared" si="6"/>
        <v>-12</v>
      </c>
      <c r="U17" s="104"/>
    </row>
    <row r="18" s="1" customFormat="1" ht="13.2" spans="1:21">
      <c r="A18" s="10"/>
      <c r="B18" s="78" t="s">
        <v>106</v>
      </c>
      <c r="C18" s="79"/>
      <c r="D18" s="80">
        <v>7</v>
      </c>
      <c r="E18" s="80">
        <v>0</v>
      </c>
      <c r="F18" s="81">
        <v>43734</v>
      </c>
      <c r="G18" s="80">
        <v>17</v>
      </c>
      <c r="H18" s="82">
        <f t="shared" si="4"/>
        <v>24</v>
      </c>
      <c r="I18" s="94">
        <f t="shared" si="5"/>
        <v>350</v>
      </c>
      <c r="J18" s="82">
        <v>3</v>
      </c>
      <c r="K18" s="82">
        <v>0</v>
      </c>
      <c r="L18" s="82">
        <v>0</v>
      </c>
      <c r="M18" s="92">
        <v>20</v>
      </c>
      <c r="N18" s="92">
        <v>90</v>
      </c>
      <c r="O18" s="94">
        <f t="shared" si="7"/>
        <v>0.02</v>
      </c>
      <c r="P18" s="94">
        <f t="shared" si="1"/>
        <v>330</v>
      </c>
      <c r="Q18" s="94" t="str">
        <f t="shared" si="8"/>
        <v>否</v>
      </c>
      <c r="R18" s="94">
        <f t="shared" si="3"/>
        <v>-4.8</v>
      </c>
      <c r="S18" s="94">
        <v>30</v>
      </c>
      <c r="T18" s="94">
        <f t="shared" si="6"/>
        <v>-21.2</v>
      </c>
      <c r="U18" s="104"/>
    </row>
    <row r="19" s="1" customFormat="1" ht="13.95" spans="1:21">
      <c r="A19" s="23"/>
      <c r="B19" s="83" t="s">
        <v>107</v>
      </c>
      <c r="C19" s="84"/>
      <c r="D19" s="85">
        <v>5</v>
      </c>
      <c r="E19" s="85">
        <v>0</v>
      </c>
      <c r="F19" s="86">
        <v>43734</v>
      </c>
      <c r="G19" s="85">
        <v>7</v>
      </c>
      <c r="H19" s="87">
        <f t="shared" si="4"/>
        <v>12</v>
      </c>
      <c r="I19" s="94">
        <f t="shared" si="5"/>
        <v>50.9708737864078</v>
      </c>
      <c r="J19" s="87">
        <v>1</v>
      </c>
      <c r="K19" s="87">
        <v>1</v>
      </c>
      <c r="L19" s="87">
        <v>1</v>
      </c>
      <c r="M19" s="98">
        <v>20</v>
      </c>
      <c r="N19" s="98">
        <v>90</v>
      </c>
      <c r="O19" s="100">
        <f t="shared" si="7"/>
        <v>0.0980952380952381</v>
      </c>
      <c r="P19" s="100">
        <f t="shared" si="1"/>
        <v>30.9708737864078</v>
      </c>
      <c r="Q19" s="100" t="str">
        <f t="shared" si="8"/>
        <v>否</v>
      </c>
      <c r="R19" s="100">
        <f t="shared" si="3"/>
        <v>5.79047619047619</v>
      </c>
      <c r="S19" s="100">
        <v>30</v>
      </c>
      <c r="T19" s="100">
        <f t="shared" si="6"/>
        <v>1.73333333333333</v>
      </c>
      <c r="U19" s="105">
        <v>10</v>
      </c>
    </row>
    <row r="20" s="1" customFormat="1" ht="13.2" spans="1:21">
      <c r="A20" s="29"/>
      <c r="B20" s="73" t="s">
        <v>108</v>
      </c>
      <c r="C20" s="74"/>
      <c r="D20" s="75">
        <v>8</v>
      </c>
      <c r="E20" s="75">
        <v>0</v>
      </c>
      <c r="F20" s="76">
        <v>43734</v>
      </c>
      <c r="G20" s="75">
        <v>23</v>
      </c>
      <c r="H20" s="77">
        <f t="shared" si="4"/>
        <v>31</v>
      </c>
      <c r="I20" s="90">
        <f t="shared" si="5"/>
        <v>16.4705882352941</v>
      </c>
      <c r="J20" s="77">
        <v>9</v>
      </c>
      <c r="K20" s="77">
        <v>7</v>
      </c>
      <c r="L20" s="77">
        <v>4</v>
      </c>
      <c r="M20" s="101">
        <v>20</v>
      </c>
      <c r="N20" s="101">
        <v>90</v>
      </c>
      <c r="O20" s="90">
        <f t="shared" si="7"/>
        <v>0.485714285714286</v>
      </c>
      <c r="P20" s="90">
        <f t="shared" si="1"/>
        <v>-3.52941176470588</v>
      </c>
      <c r="Q20" s="90" t="str">
        <f t="shared" si="8"/>
        <v>加急</v>
      </c>
      <c r="R20" s="90">
        <f t="shared" si="3"/>
        <v>45.4285714285714</v>
      </c>
      <c r="S20" s="90">
        <v>30</v>
      </c>
      <c r="T20" s="90">
        <f t="shared" si="6"/>
        <v>37</v>
      </c>
      <c r="U20" s="103">
        <v>40</v>
      </c>
    </row>
    <row r="21" s="1" customFormat="1" ht="13.2" spans="1:21">
      <c r="A21" s="10"/>
      <c r="B21" s="78" t="s">
        <v>109</v>
      </c>
      <c r="C21" s="79"/>
      <c r="D21" s="80">
        <v>10</v>
      </c>
      <c r="E21" s="80">
        <v>0</v>
      </c>
      <c r="F21" s="81">
        <v>43734</v>
      </c>
      <c r="G21" s="80">
        <v>27</v>
      </c>
      <c r="H21" s="82">
        <f t="shared" si="4"/>
        <v>37</v>
      </c>
      <c r="I21" s="94">
        <f t="shared" si="5"/>
        <v>22.4358974358974</v>
      </c>
      <c r="J21" s="82">
        <v>6</v>
      </c>
      <c r="K21" s="82">
        <v>6</v>
      </c>
      <c r="L21" s="82">
        <v>4</v>
      </c>
      <c r="M21" s="92">
        <v>20</v>
      </c>
      <c r="N21" s="92">
        <v>90</v>
      </c>
      <c r="O21" s="94">
        <f t="shared" si="7"/>
        <v>0.445714285714286</v>
      </c>
      <c r="P21" s="94">
        <f t="shared" si="1"/>
        <v>2.43589743589743</v>
      </c>
      <c r="Q21" s="94" t="str">
        <f t="shared" si="8"/>
        <v>加急</v>
      </c>
      <c r="R21" s="94">
        <f t="shared" si="3"/>
        <v>39.0285714285714</v>
      </c>
      <c r="S21" s="94">
        <v>30</v>
      </c>
      <c r="T21" s="94">
        <f t="shared" si="6"/>
        <v>25.4</v>
      </c>
      <c r="U21" s="104">
        <v>30</v>
      </c>
    </row>
    <row r="22" s="1" customFormat="1" ht="13.2" spans="1:21">
      <c r="A22" s="10"/>
      <c r="B22" s="78" t="s">
        <v>110</v>
      </c>
      <c r="C22" s="79"/>
      <c r="D22" s="80">
        <v>8</v>
      </c>
      <c r="E22" s="80">
        <v>4</v>
      </c>
      <c r="F22" s="81">
        <v>43734</v>
      </c>
      <c r="G22" s="80">
        <v>0</v>
      </c>
      <c r="H22" s="82">
        <f t="shared" si="4"/>
        <v>12</v>
      </c>
      <c r="I22" s="94">
        <f t="shared" si="5"/>
        <v>62.6865671641791</v>
      </c>
      <c r="J22" s="82">
        <v>12</v>
      </c>
      <c r="K22" s="82">
        <v>2</v>
      </c>
      <c r="L22" s="82">
        <v>1</v>
      </c>
      <c r="M22" s="92">
        <v>20</v>
      </c>
      <c r="N22" s="92">
        <v>90</v>
      </c>
      <c r="O22" s="94">
        <f t="shared" si="7"/>
        <v>0.191428571428571</v>
      </c>
      <c r="P22" s="94">
        <f t="shared" si="1"/>
        <v>42.6865671641791</v>
      </c>
      <c r="Q22" s="94" t="str">
        <f t="shared" si="8"/>
        <v>否</v>
      </c>
      <c r="R22" s="94">
        <f t="shared" si="3"/>
        <v>13.0571428571429</v>
      </c>
      <c r="S22" s="94">
        <v>30</v>
      </c>
      <c r="T22" s="94">
        <f t="shared" si="6"/>
        <v>14.8</v>
      </c>
      <c r="U22" s="104">
        <v>20</v>
      </c>
    </row>
    <row r="23" s="1" customFormat="1" ht="13.2" spans="1:21">
      <c r="A23" s="10"/>
      <c r="B23" s="78" t="s">
        <v>111</v>
      </c>
      <c r="C23" s="79"/>
      <c r="D23" s="80">
        <v>11</v>
      </c>
      <c r="E23" s="80">
        <v>0</v>
      </c>
      <c r="F23" s="81">
        <v>43734</v>
      </c>
      <c r="G23" s="80">
        <v>13</v>
      </c>
      <c r="H23" s="82">
        <f t="shared" si="4"/>
        <v>24</v>
      </c>
      <c r="I23" s="94">
        <f t="shared" si="5"/>
        <v>98.7179487179487</v>
      </c>
      <c r="J23" s="82">
        <v>3</v>
      </c>
      <c r="K23" s="82">
        <v>1</v>
      </c>
      <c r="L23" s="82">
        <v>1</v>
      </c>
      <c r="M23" s="92">
        <v>20</v>
      </c>
      <c r="N23" s="92">
        <v>90</v>
      </c>
      <c r="O23" s="94">
        <f t="shared" si="7"/>
        <v>0.111428571428571</v>
      </c>
      <c r="P23" s="94">
        <f t="shared" si="1"/>
        <v>78.7179487179487</v>
      </c>
      <c r="Q23" s="94" t="str">
        <f t="shared" si="8"/>
        <v>否</v>
      </c>
      <c r="R23" s="94">
        <f t="shared" si="3"/>
        <v>1.25714285714286</v>
      </c>
      <c r="S23" s="94">
        <v>30</v>
      </c>
      <c r="T23" s="94">
        <f t="shared" si="6"/>
        <v>-8.4</v>
      </c>
      <c r="U23" s="104"/>
    </row>
    <row r="24" s="1" customFormat="1" ht="13.2" spans="1:21">
      <c r="A24" s="10"/>
      <c r="B24" s="78" t="s">
        <v>112</v>
      </c>
      <c r="C24" s="79"/>
      <c r="D24" s="80">
        <v>8</v>
      </c>
      <c r="E24" s="80">
        <v>0</v>
      </c>
      <c r="F24" s="81">
        <v>43734</v>
      </c>
      <c r="G24" s="80">
        <v>22</v>
      </c>
      <c r="H24" s="82">
        <f t="shared" si="4"/>
        <v>30</v>
      </c>
      <c r="I24" s="94">
        <f t="shared" si="5"/>
        <v>27.1844660194175</v>
      </c>
      <c r="J24" s="82">
        <v>3</v>
      </c>
      <c r="K24" s="82">
        <v>3</v>
      </c>
      <c r="L24" s="82">
        <v>3</v>
      </c>
      <c r="M24" s="92">
        <v>20</v>
      </c>
      <c r="N24" s="92">
        <v>90</v>
      </c>
      <c r="O24" s="94">
        <f t="shared" si="7"/>
        <v>0.294285714285714</v>
      </c>
      <c r="P24" s="94">
        <f t="shared" si="1"/>
        <v>7.18446601941748</v>
      </c>
      <c r="Q24" s="94" t="str">
        <f t="shared" si="8"/>
        <v>否</v>
      </c>
      <c r="R24" s="94">
        <f t="shared" si="3"/>
        <v>24.3714285714286</v>
      </c>
      <c r="S24" s="94">
        <v>30</v>
      </c>
      <c r="T24" s="94">
        <f t="shared" si="6"/>
        <v>11.2</v>
      </c>
      <c r="U24" s="104">
        <v>15</v>
      </c>
    </row>
    <row r="25" s="1" customFormat="1" ht="13.2" spans="1:21">
      <c r="A25" s="10"/>
      <c r="B25" s="78" t="s">
        <v>113</v>
      </c>
      <c r="C25" s="79"/>
      <c r="D25" s="80">
        <v>10</v>
      </c>
      <c r="E25" s="80">
        <v>0</v>
      </c>
      <c r="F25" s="81">
        <v>43734</v>
      </c>
      <c r="G25" s="80">
        <v>12</v>
      </c>
      <c r="H25" s="82">
        <f t="shared" si="4"/>
        <v>22</v>
      </c>
      <c r="I25" s="94" t="e">
        <f t="shared" si="5"/>
        <v>#DIV/0!</v>
      </c>
      <c r="J25" s="82">
        <v>0</v>
      </c>
      <c r="K25" s="82">
        <v>0</v>
      </c>
      <c r="L25" s="82">
        <v>0</v>
      </c>
      <c r="M25" s="92">
        <v>20</v>
      </c>
      <c r="N25" s="92">
        <v>90</v>
      </c>
      <c r="O25" s="94">
        <f t="shared" si="7"/>
        <v>0</v>
      </c>
      <c r="P25" s="94" t="e">
        <f t="shared" si="1"/>
        <v>#DIV/0!</v>
      </c>
      <c r="Q25" s="94" t="e">
        <f t="shared" si="8"/>
        <v>#DIV/0!</v>
      </c>
      <c r="R25" s="94">
        <f t="shared" si="3"/>
        <v>-10</v>
      </c>
      <c r="S25" s="94">
        <v>30</v>
      </c>
      <c r="T25" s="94">
        <f t="shared" si="6"/>
        <v>-22</v>
      </c>
      <c r="U25" s="104"/>
    </row>
    <row r="26" s="1" customFormat="1" ht="13.2" spans="1:21">
      <c r="A26" s="10"/>
      <c r="B26" s="78" t="s">
        <v>114</v>
      </c>
      <c r="C26" s="79"/>
      <c r="D26" s="80">
        <v>9</v>
      </c>
      <c r="E26" s="80">
        <v>0</v>
      </c>
      <c r="F26" s="81">
        <v>43734</v>
      </c>
      <c r="G26" s="80">
        <v>12</v>
      </c>
      <c r="H26" s="82">
        <f t="shared" si="4"/>
        <v>21</v>
      </c>
      <c r="I26" s="94">
        <f t="shared" si="5"/>
        <v>91.747572815534</v>
      </c>
      <c r="J26" s="82">
        <v>1</v>
      </c>
      <c r="K26" s="82">
        <v>1</v>
      </c>
      <c r="L26" s="82">
        <v>1</v>
      </c>
      <c r="M26" s="92">
        <v>20</v>
      </c>
      <c r="N26" s="92">
        <v>90</v>
      </c>
      <c r="O26" s="94">
        <f t="shared" si="7"/>
        <v>0.0980952380952381</v>
      </c>
      <c r="P26" s="94">
        <f t="shared" si="1"/>
        <v>71.747572815534</v>
      </c>
      <c r="Q26" s="94" t="str">
        <f t="shared" si="8"/>
        <v>否</v>
      </c>
      <c r="R26" s="94">
        <f t="shared" si="3"/>
        <v>1.79047619047619</v>
      </c>
      <c r="S26" s="94">
        <v>30</v>
      </c>
      <c r="T26" s="94">
        <f t="shared" si="6"/>
        <v>-7.26666666666667</v>
      </c>
      <c r="U26" s="104"/>
    </row>
    <row r="27" s="1" customFormat="1" ht="13.95" spans="1:21">
      <c r="A27" s="23"/>
      <c r="B27" s="83" t="s">
        <v>115</v>
      </c>
      <c r="C27" s="84"/>
      <c r="D27" s="85">
        <v>10</v>
      </c>
      <c r="E27" s="85">
        <v>0</v>
      </c>
      <c r="F27" s="86">
        <v>43734</v>
      </c>
      <c r="G27" s="85">
        <v>12</v>
      </c>
      <c r="H27" s="87">
        <f t="shared" si="4"/>
        <v>22</v>
      </c>
      <c r="I27" s="94" t="e">
        <f t="shared" si="5"/>
        <v>#DIV/0!</v>
      </c>
      <c r="J27" s="87">
        <v>0</v>
      </c>
      <c r="K27" s="87">
        <v>0</v>
      </c>
      <c r="L27" s="87">
        <v>0</v>
      </c>
      <c r="M27" s="98">
        <v>20</v>
      </c>
      <c r="N27" s="98">
        <v>90</v>
      </c>
      <c r="O27" s="100">
        <f t="shared" si="7"/>
        <v>0</v>
      </c>
      <c r="P27" s="100" t="e">
        <f t="shared" si="1"/>
        <v>#DIV/0!</v>
      </c>
      <c r="Q27" s="100" t="e">
        <f t="shared" si="8"/>
        <v>#DIV/0!</v>
      </c>
      <c r="R27" s="100">
        <f t="shared" si="3"/>
        <v>-10</v>
      </c>
      <c r="S27" s="100">
        <v>30</v>
      </c>
      <c r="T27" s="100">
        <f t="shared" si="6"/>
        <v>-22</v>
      </c>
      <c r="U27" s="105"/>
    </row>
    <row r="28" s="1" customFormat="1" ht="13.2" spans="1:21">
      <c r="A28" s="29"/>
      <c r="B28" s="73" t="s">
        <v>116</v>
      </c>
      <c r="C28" s="74"/>
      <c r="D28" s="75">
        <v>6</v>
      </c>
      <c r="E28" s="75">
        <v>20</v>
      </c>
      <c r="F28" s="76">
        <v>43734</v>
      </c>
      <c r="G28" s="75">
        <v>3</v>
      </c>
      <c r="H28" s="77">
        <f t="shared" si="4"/>
        <v>29</v>
      </c>
      <c r="I28" s="90">
        <f t="shared" si="5"/>
        <v>110.08064516129</v>
      </c>
      <c r="J28" s="77">
        <v>5</v>
      </c>
      <c r="K28" s="77">
        <v>3</v>
      </c>
      <c r="L28" s="77">
        <v>2</v>
      </c>
      <c r="M28" s="101">
        <v>20</v>
      </c>
      <c r="N28" s="101">
        <v>90</v>
      </c>
      <c r="O28" s="90">
        <f t="shared" si="7"/>
        <v>0.236190476190476</v>
      </c>
      <c r="P28" s="90">
        <f t="shared" si="1"/>
        <v>90.0806451612903</v>
      </c>
      <c r="Q28" s="90" t="str">
        <f t="shared" si="8"/>
        <v>否</v>
      </c>
      <c r="R28" s="90">
        <f t="shared" si="3"/>
        <v>19.9809523809524</v>
      </c>
      <c r="S28" s="90">
        <v>30</v>
      </c>
      <c r="T28" s="90">
        <f t="shared" si="6"/>
        <v>4.06666666666666</v>
      </c>
      <c r="U28" s="103">
        <v>10</v>
      </c>
    </row>
    <row r="29" s="1" customFormat="1" ht="13.2" spans="1:21">
      <c r="A29" s="10"/>
      <c r="B29" s="78" t="s">
        <v>117</v>
      </c>
      <c r="C29" s="79"/>
      <c r="D29" s="80">
        <v>5</v>
      </c>
      <c r="E29" s="80">
        <v>0</v>
      </c>
      <c r="F29" s="81">
        <v>43734</v>
      </c>
      <c r="G29" s="80">
        <v>14</v>
      </c>
      <c r="H29" s="82">
        <f t="shared" si="4"/>
        <v>19</v>
      </c>
      <c r="I29" s="94">
        <f t="shared" si="5"/>
        <v>21.1693548387097</v>
      </c>
      <c r="J29" s="82">
        <v>5</v>
      </c>
      <c r="K29" s="82">
        <v>3</v>
      </c>
      <c r="L29" s="82">
        <v>2</v>
      </c>
      <c r="M29" s="92">
        <v>20</v>
      </c>
      <c r="N29" s="92">
        <v>90</v>
      </c>
      <c r="O29" s="94">
        <f t="shared" si="7"/>
        <v>0.236190476190476</v>
      </c>
      <c r="P29" s="94">
        <f t="shared" si="1"/>
        <v>1.16935483870968</v>
      </c>
      <c r="Q29" s="94" t="str">
        <f t="shared" si="8"/>
        <v>加急</v>
      </c>
      <c r="R29" s="94">
        <f t="shared" si="3"/>
        <v>20.9809523809524</v>
      </c>
      <c r="S29" s="94">
        <v>30</v>
      </c>
      <c r="T29" s="94">
        <f t="shared" si="6"/>
        <v>14.0666666666667</v>
      </c>
      <c r="U29" s="104">
        <v>20</v>
      </c>
    </row>
    <row r="30" s="1" customFormat="1" ht="13.2" spans="1:21">
      <c r="A30" s="10"/>
      <c r="B30" s="78" t="s">
        <v>118</v>
      </c>
      <c r="C30" s="79"/>
      <c r="D30" s="80">
        <v>5</v>
      </c>
      <c r="E30" s="80">
        <v>0</v>
      </c>
      <c r="F30" s="81">
        <v>43734</v>
      </c>
      <c r="G30" s="80">
        <v>11</v>
      </c>
      <c r="H30" s="82">
        <f t="shared" si="4"/>
        <v>16</v>
      </c>
      <c r="I30" s="94">
        <f t="shared" si="5"/>
        <v>26.1194029850746</v>
      </c>
      <c r="J30" s="82">
        <v>6</v>
      </c>
      <c r="K30" s="82">
        <v>4</v>
      </c>
      <c r="L30" s="82">
        <v>1</v>
      </c>
      <c r="M30" s="92">
        <v>20</v>
      </c>
      <c r="N30" s="92">
        <v>90</v>
      </c>
      <c r="O30" s="94">
        <f t="shared" si="7"/>
        <v>0.191428571428571</v>
      </c>
      <c r="P30" s="94">
        <f t="shared" si="1"/>
        <v>6.11940298507463</v>
      </c>
      <c r="Q30" s="94" t="str">
        <f t="shared" si="8"/>
        <v>否</v>
      </c>
      <c r="R30" s="94">
        <f t="shared" si="3"/>
        <v>16.0571428571429</v>
      </c>
      <c r="S30" s="94">
        <v>30</v>
      </c>
      <c r="T30" s="94">
        <f t="shared" si="6"/>
        <v>10.8</v>
      </c>
      <c r="U30" s="104">
        <v>10</v>
      </c>
    </row>
    <row r="31" s="1" customFormat="1" ht="13.2" spans="1:21">
      <c r="A31" s="10"/>
      <c r="B31" s="78" t="s">
        <v>119</v>
      </c>
      <c r="C31" s="79"/>
      <c r="D31" s="80">
        <v>12</v>
      </c>
      <c r="E31" s="80">
        <v>0</v>
      </c>
      <c r="F31" s="81">
        <v>43734</v>
      </c>
      <c r="G31" s="80">
        <v>11</v>
      </c>
      <c r="H31" s="82">
        <f t="shared" si="4"/>
        <v>23</v>
      </c>
      <c r="I31" s="94">
        <f t="shared" si="5"/>
        <v>450</v>
      </c>
      <c r="J31" s="82">
        <v>4</v>
      </c>
      <c r="K31" s="82">
        <v>0</v>
      </c>
      <c r="L31" s="82">
        <v>0</v>
      </c>
      <c r="M31" s="92">
        <v>20</v>
      </c>
      <c r="N31" s="92">
        <v>90</v>
      </c>
      <c r="O31" s="94">
        <f t="shared" si="7"/>
        <v>0.0266666666666667</v>
      </c>
      <c r="P31" s="94">
        <f t="shared" si="1"/>
        <v>430</v>
      </c>
      <c r="Q31" s="94" t="str">
        <f t="shared" si="8"/>
        <v>否</v>
      </c>
      <c r="R31" s="94">
        <f t="shared" si="3"/>
        <v>-9.06666666666667</v>
      </c>
      <c r="S31" s="94">
        <v>30</v>
      </c>
      <c r="T31" s="94">
        <f t="shared" si="6"/>
        <v>-19.2666666666667</v>
      </c>
      <c r="U31" s="104"/>
    </row>
    <row r="32" s="1" customFormat="1" ht="13.2" spans="1:21">
      <c r="A32" s="10"/>
      <c r="B32" s="78" t="s">
        <v>120</v>
      </c>
      <c r="C32" s="79"/>
      <c r="D32" s="80">
        <v>6</v>
      </c>
      <c r="E32" s="80">
        <v>0</v>
      </c>
      <c r="F32" s="81">
        <v>43734</v>
      </c>
      <c r="G32" s="80">
        <v>8</v>
      </c>
      <c r="H32" s="82">
        <f t="shared" si="4"/>
        <v>14</v>
      </c>
      <c r="I32" s="94">
        <f t="shared" si="5"/>
        <v>29.5774647887324</v>
      </c>
      <c r="J32" s="82">
        <v>3</v>
      </c>
      <c r="K32" s="82">
        <v>2</v>
      </c>
      <c r="L32" s="82">
        <v>2</v>
      </c>
      <c r="M32" s="92">
        <v>20</v>
      </c>
      <c r="N32" s="92">
        <v>90</v>
      </c>
      <c r="O32" s="94">
        <f t="shared" si="7"/>
        <v>0.202857142857143</v>
      </c>
      <c r="P32" s="94">
        <f t="shared" si="1"/>
        <v>9.5774647887324</v>
      </c>
      <c r="Q32" s="94" t="str">
        <f t="shared" si="8"/>
        <v>否</v>
      </c>
      <c r="R32" s="94">
        <f t="shared" si="3"/>
        <v>16.3142857142857</v>
      </c>
      <c r="S32" s="94">
        <v>30</v>
      </c>
      <c r="T32" s="94">
        <f t="shared" si="6"/>
        <v>14.4</v>
      </c>
      <c r="U32" s="104">
        <v>20</v>
      </c>
    </row>
    <row r="33" s="1" customFormat="1" ht="13.2" spans="1:21">
      <c r="A33" s="10"/>
      <c r="B33" s="78" t="s">
        <v>121</v>
      </c>
      <c r="C33" s="79"/>
      <c r="D33" s="80">
        <v>9</v>
      </c>
      <c r="E33" s="80">
        <v>0</v>
      </c>
      <c r="F33" s="81">
        <v>43734</v>
      </c>
      <c r="G33" s="80">
        <v>7</v>
      </c>
      <c r="H33" s="82">
        <f t="shared" si="4"/>
        <v>16</v>
      </c>
      <c r="I33" s="94">
        <f t="shared" si="5"/>
        <v>91.747572815534</v>
      </c>
      <c r="J33" s="82">
        <v>1</v>
      </c>
      <c r="K33" s="82">
        <v>1</v>
      </c>
      <c r="L33" s="82">
        <v>1</v>
      </c>
      <c r="M33" s="92">
        <v>20</v>
      </c>
      <c r="N33" s="92">
        <v>90</v>
      </c>
      <c r="O33" s="94">
        <f t="shared" si="7"/>
        <v>0.0980952380952381</v>
      </c>
      <c r="P33" s="94">
        <f t="shared" si="1"/>
        <v>71.747572815534</v>
      </c>
      <c r="Q33" s="94" t="str">
        <f t="shared" si="8"/>
        <v>否</v>
      </c>
      <c r="R33" s="94">
        <f t="shared" si="3"/>
        <v>1.79047619047619</v>
      </c>
      <c r="S33" s="94">
        <v>30</v>
      </c>
      <c r="T33" s="94">
        <f t="shared" si="6"/>
        <v>-2.26666666666667</v>
      </c>
      <c r="U33" s="104">
        <v>10</v>
      </c>
    </row>
    <row r="34" s="1" customFormat="1" ht="13.2" spans="1:21">
      <c r="A34" s="10"/>
      <c r="B34" s="78" t="s">
        <v>122</v>
      </c>
      <c r="C34" s="79"/>
      <c r="D34" s="80">
        <v>11</v>
      </c>
      <c r="E34" s="80">
        <v>0</v>
      </c>
      <c r="F34" s="81">
        <v>43734</v>
      </c>
      <c r="G34" s="80">
        <v>7</v>
      </c>
      <c r="H34" s="82">
        <f t="shared" si="4"/>
        <v>18</v>
      </c>
      <c r="I34" s="94" t="e">
        <f t="shared" si="5"/>
        <v>#DIV/0!</v>
      </c>
      <c r="J34" s="82">
        <v>0</v>
      </c>
      <c r="K34" s="82">
        <v>0</v>
      </c>
      <c r="L34" s="82">
        <v>0</v>
      </c>
      <c r="M34" s="92">
        <v>20</v>
      </c>
      <c r="N34" s="92">
        <v>90</v>
      </c>
      <c r="O34" s="94">
        <f t="shared" si="7"/>
        <v>0</v>
      </c>
      <c r="P34" s="94" t="e">
        <f t="shared" si="1"/>
        <v>#DIV/0!</v>
      </c>
      <c r="Q34" s="94" t="e">
        <f t="shared" si="8"/>
        <v>#DIV/0!</v>
      </c>
      <c r="R34" s="94">
        <f t="shared" si="3"/>
        <v>-11</v>
      </c>
      <c r="S34" s="94">
        <v>30</v>
      </c>
      <c r="T34" s="94">
        <f t="shared" si="6"/>
        <v>-18</v>
      </c>
      <c r="U34" s="104"/>
    </row>
    <row r="35" s="1" customFormat="1" ht="13.95" spans="1:21">
      <c r="A35" s="23"/>
      <c r="B35" s="83" t="s">
        <v>123</v>
      </c>
      <c r="C35" s="84"/>
      <c r="D35" s="85">
        <v>11</v>
      </c>
      <c r="E35" s="85">
        <v>0</v>
      </c>
      <c r="F35" s="86">
        <v>43734</v>
      </c>
      <c r="G35" s="85">
        <v>7</v>
      </c>
      <c r="H35" s="87">
        <f t="shared" si="4"/>
        <v>18</v>
      </c>
      <c r="I35" s="94" t="e">
        <f t="shared" si="5"/>
        <v>#DIV/0!</v>
      </c>
      <c r="J35" s="87">
        <v>0</v>
      </c>
      <c r="K35" s="87">
        <v>0</v>
      </c>
      <c r="L35" s="87">
        <v>0</v>
      </c>
      <c r="M35" s="98">
        <v>20</v>
      </c>
      <c r="N35" s="98">
        <v>90</v>
      </c>
      <c r="O35" s="100">
        <f t="shared" si="7"/>
        <v>0</v>
      </c>
      <c r="P35" s="100" t="e">
        <f t="shared" si="1"/>
        <v>#DIV/0!</v>
      </c>
      <c r="Q35" s="100" t="e">
        <f t="shared" si="8"/>
        <v>#DIV/0!</v>
      </c>
      <c r="R35" s="100">
        <f t="shared" si="3"/>
        <v>-11</v>
      </c>
      <c r="S35" s="100">
        <v>30</v>
      </c>
      <c r="T35" s="100">
        <f t="shared" si="6"/>
        <v>-18</v>
      </c>
      <c r="U35" s="105"/>
    </row>
    <row r="36" s="1" customFormat="1" ht="13.2" spans="1:21">
      <c r="A36" s="29"/>
      <c r="B36" s="73" t="s">
        <v>124</v>
      </c>
      <c r="C36" s="74"/>
      <c r="D36" s="75">
        <v>10</v>
      </c>
      <c r="E36" s="75">
        <v>0</v>
      </c>
      <c r="F36" s="76">
        <v>43734</v>
      </c>
      <c r="G36" s="75">
        <v>30</v>
      </c>
      <c r="H36" s="77">
        <f t="shared" si="4"/>
        <v>40</v>
      </c>
      <c r="I36" s="90">
        <f t="shared" si="5"/>
        <v>84.6774193548387</v>
      </c>
      <c r="J36" s="77">
        <v>4</v>
      </c>
      <c r="K36" s="77">
        <v>1</v>
      </c>
      <c r="L36" s="77">
        <v>1</v>
      </c>
      <c r="M36" s="101">
        <v>20</v>
      </c>
      <c r="N36" s="101">
        <v>90</v>
      </c>
      <c r="O36" s="90">
        <f t="shared" si="7"/>
        <v>0.118095238095238</v>
      </c>
      <c r="P36" s="90">
        <f t="shared" si="1"/>
        <v>64.6774193548387</v>
      </c>
      <c r="Q36" s="90" t="str">
        <f t="shared" si="8"/>
        <v>否</v>
      </c>
      <c r="R36" s="90">
        <f t="shared" si="3"/>
        <v>2.99047619047619</v>
      </c>
      <c r="S36" s="90">
        <v>30</v>
      </c>
      <c r="T36" s="90">
        <f t="shared" si="6"/>
        <v>-23.4666666666667</v>
      </c>
      <c r="U36" s="103"/>
    </row>
    <row r="37" s="1" customFormat="1" ht="13.2" spans="1:21">
      <c r="A37" s="10"/>
      <c r="B37" s="78" t="s">
        <v>125</v>
      </c>
      <c r="C37" s="79"/>
      <c r="D37" s="80">
        <v>9</v>
      </c>
      <c r="E37" s="80">
        <v>0</v>
      </c>
      <c r="F37" s="81">
        <v>43734</v>
      </c>
      <c r="G37" s="80">
        <v>12</v>
      </c>
      <c r="H37" s="82">
        <f t="shared" si="4"/>
        <v>21</v>
      </c>
      <c r="I37" s="94">
        <f t="shared" si="5"/>
        <v>192.857142857143</v>
      </c>
      <c r="J37" s="82">
        <v>4</v>
      </c>
      <c r="K37" s="82">
        <v>1</v>
      </c>
      <c r="L37" s="82">
        <v>0</v>
      </c>
      <c r="M37" s="92">
        <v>20</v>
      </c>
      <c r="N37" s="92">
        <v>90</v>
      </c>
      <c r="O37" s="94">
        <f t="shared" si="7"/>
        <v>0.0466666666666667</v>
      </c>
      <c r="P37" s="94">
        <f t="shared" si="1"/>
        <v>172.857142857143</v>
      </c>
      <c r="Q37" s="94" t="str">
        <f t="shared" si="8"/>
        <v>否</v>
      </c>
      <c r="R37" s="94">
        <f t="shared" si="3"/>
        <v>-3.86666666666667</v>
      </c>
      <c r="S37" s="94">
        <v>30</v>
      </c>
      <c r="T37" s="94">
        <f t="shared" si="6"/>
        <v>-14.4666666666667</v>
      </c>
      <c r="U37" s="104"/>
    </row>
    <row r="38" s="1" customFormat="1" ht="13.2" spans="1:21">
      <c r="A38" s="10"/>
      <c r="B38" s="78" t="s">
        <v>126</v>
      </c>
      <c r="C38" s="79"/>
      <c r="D38" s="80">
        <v>5</v>
      </c>
      <c r="E38" s="80">
        <v>10</v>
      </c>
      <c r="F38" s="81">
        <v>43734</v>
      </c>
      <c r="G38" s="80">
        <v>2</v>
      </c>
      <c r="H38" s="82">
        <f t="shared" si="4"/>
        <v>17</v>
      </c>
      <c r="I38" s="94">
        <f t="shared" si="5"/>
        <v>204.545454545455</v>
      </c>
      <c r="J38" s="82">
        <v>8</v>
      </c>
      <c r="K38" s="82">
        <v>1</v>
      </c>
      <c r="L38" s="82">
        <v>0</v>
      </c>
      <c r="M38" s="92">
        <v>20</v>
      </c>
      <c r="N38" s="92">
        <v>90</v>
      </c>
      <c r="O38" s="94">
        <f t="shared" si="7"/>
        <v>0.0733333333333333</v>
      </c>
      <c r="P38" s="94">
        <f t="shared" si="1"/>
        <v>184.545454545455</v>
      </c>
      <c r="Q38" s="94" t="str">
        <f t="shared" si="8"/>
        <v>否</v>
      </c>
      <c r="R38" s="94">
        <f t="shared" si="3"/>
        <v>3.06666666666667</v>
      </c>
      <c r="S38" s="94">
        <v>30</v>
      </c>
      <c r="T38" s="94">
        <f t="shared" si="6"/>
        <v>-6.73333333333333</v>
      </c>
      <c r="U38" s="104"/>
    </row>
    <row r="39" s="1" customFormat="1" ht="13.2" spans="1:21">
      <c r="A39" s="10"/>
      <c r="B39" s="78" t="s">
        <v>127</v>
      </c>
      <c r="C39" s="79"/>
      <c r="D39" s="80">
        <v>15</v>
      </c>
      <c r="E39" s="80">
        <v>0</v>
      </c>
      <c r="F39" s="81">
        <v>43734</v>
      </c>
      <c r="G39" s="80">
        <v>4</v>
      </c>
      <c r="H39" s="82">
        <f t="shared" si="4"/>
        <v>19</v>
      </c>
      <c r="I39" s="94">
        <f t="shared" si="5"/>
        <v>1125</v>
      </c>
      <c r="J39" s="82">
        <v>2</v>
      </c>
      <c r="K39" s="82">
        <v>0</v>
      </c>
      <c r="L39" s="82">
        <v>0</v>
      </c>
      <c r="M39" s="92">
        <v>20</v>
      </c>
      <c r="N39" s="92">
        <v>90</v>
      </c>
      <c r="O39" s="94">
        <f t="shared" si="7"/>
        <v>0.0133333333333333</v>
      </c>
      <c r="P39" s="94">
        <f t="shared" si="1"/>
        <v>1105</v>
      </c>
      <c r="Q39" s="94" t="str">
        <f t="shared" si="8"/>
        <v>否</v>
      </c>
      <c r="R39" s="94">
        <f t="shared" si="3"/>
        <v>-13.5333333333333</v>
      </c>
      <c r="S39" s="94">
        <v>30</v>
      </c>
      <c r="T39" s="94">
        <f t="shared" si="6"/>
        <v>-17.1333333333333</v>
      </c>
      <c r="U39" s="104"/>
    </row>
    <row r="40" s="1" customFormat="1" ht="13.2" spans="1:21">
      <c r="A40" s="10"/>
      <c r="B40" s="78" t="s">
        <v>128</v>
      </c>
      <c r="C40" s="79"/>
      <c r="D40" s="80">
        <v>18</v>
      </c>
      <c r="E40" s="80">
        <v>0</v>
      </c>
      <c r="F40" s="81">
        <v>43734</v>
      </c>
      <c r="G40" s="80">
        <v>16</v>
      </c>
      <c r="H40" s="82">
        <f t="shared" si="4"/>
        <v>34</v>
      </c>
      <c r="I40" s="94">
        <f t="shared" si="5"/>
        <v>183.495145631068</v>
      </c>
      <c r="J40" s="82">
        <v>1</v>
      </c>
      <c r="K40" s="82">
        <v>1</v>
      </c>
      <c r="L40" s="82">
        <v>1</v>
      </c>
      <c r="M40" s="92">
        <v>20</v>
      </c>
      <c r="N40" s="92">
        <v>90</v>
      </c>
      <c r="O40" s="94">
        <f t="shared" si="7"/>
        <v>0.0980952380952381</v>
      </c>
      <c r="P40" s="94">
        <f t="shared" si="1"/>
        <v>163.495145631068</v>
      </c>
      <c r="Q40" s="94" t="str">
        <f t="shared" si="8"/>
        <v>否</v>
      </c>
      <c r="R40" s="94">
        <f t="shared" si="3"/>
        <v>-7.20952380952381</v>
      </c>
      <c r="S40" s="94">
        <v>30</v>
      </c>
      <c r="T40" s="94">
        <f t="shared" si="6"/>
        <v>-20.2666666666667</v>
      </c>
      <c r="U40" s="104"/>
    </row>
    <row r="41" s="1" customFormat="1" ht="13.2" spans="1:21">
      <c r="A41" s="10"/>
      <c r="B41" s="78" t="s">
        <v>129</v>
      </c>
      <c r="C41" s="79"/>
      <c r="D41" s="80">
        <v>12</v>
      </c>
      <c r="E41" s="80">
        <v>0</v>
      </c>
      <c r="F41" s="81">
        <v>43734</v>
      </c>
      <c r="G41" s="80">
        <v>12</v>
      </c>
      <c r="H41" s="82">
        <f t="shared" si="4"/>
        <v>24</v>
      </c>
      <c r="I41" s="94">
        <f t="shared" si="5"/>
        <v>122.330097087379</v>
      </c>
      <c r="J41" s="82">
        <v>1</v>
      </c>
      <c r="K41" s="82">
        <v>1</v>
      </c>
      <c r="L41" s="82">
        <v>1</v>
      </c>
      <c r="M41" s="92">
        <v>20</v>
      </c>
      <c r="N41" s="92">
        <v>90</v>
      </c>
      <c r="O41" s="94">
        <f t="shared" si="7"/>
        <v>0.0980952380952381</v>
      </c>
      <c r="P41" s="94">
        <f t="shared" si="1"/>
        <v>102.330097087379</v>
      </c>
      <c r="Q41" s="94" t="str">
        <f t="shared" si="8"/>
        <v>否</v>
      </c>
      <c r="R41" s="94">
        <f t="shared" si="3"/>
        <v>-1.20952380952381</v>
      </c>
      <c r="S41" s="94">
        <v>30</v>
      </c>
      <c r="T41" s="94">
        <f t="shared" si="6"/>
        <v>-10.2666666666667</v>
      </c>
      <c r="U41" s="104"/>
    </row>
    <row r="42" s="1" customFormat="1" ht="13.2" spans="1:21">
      <c r="A42" s="10"/>
      <c r="B42" s="78" t="s">
        <v>130</v>
      </c>
      <c r="C42" s="79"/>
      <c r="D42" s="80">
        <v>7</v>
      </c>
      <c r="E42" s="80">
        <v>0</v>
      </c>
      <c r="F42" s="81">
        <v>43734</v>
      </c>
      <c r="G42" s="80">
        <v>2</v>
      </c>
      <c r="H42" s="82">
        <f t="shared" si="4"/>
        <v>9</v>
      </c>
      <c r="I42" s="94" t="e">
        <f t="shared" si="5"/>
        <v>#DIV/0!</v>
      </c>
      <c r="J42" s="82">
        <v>0</v>
      </c>
      <c r="K42" s="82">
        <v>0</v>
      </c>
      <c r="L42" s="82">
        <v>0</v>
      </c>
      <c r="M42" s="92">
        <v>20</v>
      </c>
      <c r="N42" s="92">
        <v>90</v>
      </c>
      <c r="O42" s="94">
        <f t="shared" si="7"/>
        <v>0</v>
      </c>
      <c r="P42" s="94" t="e">
        <f t="shared" si="1"/>
        <v>#DIV/0!</v>
      </c>
      <c r="Q42" s="94" t="e">
        <f t="shared" si="8"/>
        <v>#DIV/0!</v>
      </c>
      <c r="R42" s="94">
        <f t="shared" si="3"/>
        <v>-7</v>
      </c>
      <c r="S42" s="94">
        <v>30</v>
      </c>
      <c r="T42" s="94">
        <f t="shared" si="6"/>
        <v>-9</v>
      </c>
      <c r="U42" s="104"/>
    </row>
    <row r="43" s="1" customFormat="1" ht="13.95" spans="1:21">
      <c r="A43" s="23"/>
      <c r="B43" s="83" t="s">
        <v>131</v>
      </c>
      <c r="C43" s="84"/>
      <c r="D43" s="85">
        <v>6</v>
      </c>
      <c r="E43" s="85">
        <v>0</v>
      </c>
      <c r="F43" s="86">
        <v>43734</v>
      </c>
      <c r="G43" s="85">
        <v>5</v>
      </c>
      <c r="H43" s="87">
        <f t="shared" si="4"/>
        <v>11</v>
      </c>
      <c r="I43" s="94">
        <f t="shared" si="5"/>
        <v>45</v>
      </c>
      <c r="J43" s="87">
        <v>5</v>
      </c>
      <c r="K43" s="87">
        <v>5</v>
      </c>
      <c r="L43" s="87">
        <v>0</v>
      </c>
      <c r="M43" s="98">
        <v>20</v>
      </c>
      <c r="N43" s="98">
        <v>90</v>
      </c>
      <c r="O43" s="100">
        <f t="shared" si="7"/>
        <v>0.133333333333333</v>
      </c>
      <c r="P43" s="100">
        <f t="shared" si="1"/>
        <v>25</v>
      </c>
      <c r="Q43" s="100" t="str">
        <f t="shared" si="8"/>
        <v>否</v>
      </c>
      <c r="R43" s="100">
        <f t="shared" si="3"/>
        <v>8.66666666666667</v>
      </c>
      <c r="S43" s="100">
        <v>30</v>
      </c>
      <c r="T43" s="100">
        <f t="shared" si="6"/>
        <v>7.66666666666667</v>
      </c>
      <c r="U43" s="105">
        <v>10</v>
      </c>
    </row>
    <row r="44" s="1" customFormat="1" ht="13.2" spans="2:21">
      <c r="B44" s="39"/>
      <c r="C44" s="39"/>
      <c r="D44" s="40"/>
      <c r="E44" s="40"/>
      <c r="F44" s="40"/>
      <c r="I44" s="41"/>
      <c r="J44" s="40"/>
      <c r="K44" s="40"/>
      <c r="L44" s="40"/>
      <c r="M44" s="40"/>
      <c r="N44" s="40"/>
      <c r="O44" s="41"/>
      <c r="P44" s="41"/>
      <c r="Q44" s="41"/>
      <c r="R44" s="41"/>
      <c r="S44" s="41"/>
      <c r="T44" s="41"/>
      <c r="U44" s="106">
        <f>SUM(U3:U43)</f>
        <v>825</v>
      </c>
    </row>
  </sheetData>
  <conditionalFormatting sqref="E4">
    <cfRule type="duplicateValues" dxfId="0" priority="21"/>
  </conditionalFormatting>
  <conditionalFormatting sqref="E12">
    <cfRule type="duplicateValues" dxfId="0" priority="19"/>
  </conditionalFormatting>
  <conditionalFormatting sqref="E20">
    <cfRule type="duplicateValues" dxfId="0" priority="17"/>
  </conditionalFormatting>
  <conditionalFormatting sqref="E28">
    <cfRule type="duplicateValues" dxfId="0" priority="15"/>
  </conditionalFormatting>
  <conditionalFormatting sqref="E36">
    <cfRule type="duplicateValues" dxfId="0" priority="13"/>
  </conditionalFormatting>
  <conditionalFormatting sqref="D4:D11">
    <cfRule type="duplicateValues" dxfId="0" priority="5"/>
  </conditionalFormatting>
  <conditionalFormatting sqref="D12:D19">
    <cfRule type="duplicateValues" dxfId="0" priority="4"/>
  </conditionalFormatting>
  <conditionalFormatting sqref="D20:D27">
    <cfRule type="duplicateValues" dxfId="0" priority="3"/>
  </conditionalFormatting>
  <conditionalFormatting sqref="D28:D35">
    <cfRule type="duplicateValues" dxfId="0" priority="2"/>
  </conditionalFormatting>
  <conditionalFormatting sqref="D36:D43">
    <cfRule type="duplicateValues" dxfId="0" priority="1"/>
  </conditionalFormatting>
  <conditionalFormatting sqref="E5:E11">
    <cfRule type="duplicateValues" dxfId="0" priority="22"/>
  </conditionalFormatting>
  <conditionalFormatting sqref="E13:E19">
    <cfRule type="duplicateValues" dxfId="0" priority="20"/>
  </conditionalFormatting>
  <conditionalFormatting sqref="E21:E27">
    <cfRule type="duplicateValues" dxfId="0" priority="18"/>
  </conditionalFormatting>
  <conditionalFormatting sqref="E29:E35">
    <cfRule type="duplicateValues" dxfId="0" priority="16"/>
  </conditionalFormatting>
  <conditionalFormatting sqref="E37:E43">
    <cfRule type="duplicateValues" dxfId="0" priority="14"/>
  </conditionalFormatting>
  <conditionalFormatting sqref="F4:F11">
    <cfRule type="duplicateValues" dxfId="0" priority="12"/>
  </conditionalFormatting>
  <conditionalFormatting sqref="F12:F43">
    <cfRule type="duplicateValues" dxfId="0" priority="11"/>
  </conditionalFormatting>
  <conditionalFormatting sqref="G4:G11">
    <cfRule type="duplicateValues" dxfId="0" priority="10"/>
  </conditionalFormatting>
  <conditionalFormatting sqref="G12:G19">
    <cfRule type="duplicateValues" dxfId="0" priority="9"/>
  </conditionalFormatting>
  <conditionalFormatting sqref="G20:G27">
    <cfRule type="duplicateValues" dxfId="0" priority="8"/>
  </conditionalFormatting>
  <conditionalFormatting sqref="G28:G35">
    <cfRule type="duplicateValues" dxfId="0" priority="7"/>
  </conditionalFormatting>
  <conditionalFormatting sqref="G36:G43">
    <cfRule type="duplicateValues" dxfId="0" priority="6"/>
  </conditionalFormatting>
  <conditionalFormatting sqref="B4:C35">
    <cfRule type="duplicateValues" dxfId="0" priority="45"/>
  </conditionalFormatting>
  <conditionalFormatting sqref="B36:C44">
    <cfRule type="duplicateValues" dxfId="0" priority="42"/>
  </conditionalFormatting>
  <printOptions horizontalCentered="1"/>
  <pageMargins left="0" right="0" top="0" bottom="0" header="0.31496062992126" footer="0.31496062992126"/>
  <pageSetup paperSize="9" scale="75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44"/>
  <sheetViews>
    <sheetView topLeftCell="A22" workbookViewId="0">
      <selection activeCell="F58" sqref="F58"/>
    </sheetView>
  </sheetViews>
  <sheetFormatPr defaultColWidth="9" defaultRowHeight="13.8"/>
  <cols>
    <col min="2" max="2" width="16.6666666666667" customWidth="1"/>
    <col min="3" max="3" width="8" customWidth="1"/>
    <col min="5" max="5" width="8" customWidth="1"/>
    <col min="6" max="6" width="9.66666666666667" customWidth="1"/>
    <col min="9" max="9" width="7" customWidth="1"/>
    <col min="13" max="13" width="8" customWidth="1"/>
    <col min="14" max="14" width="10.7777777777778" customWidth="1"/>
    <col min="15" max="15" width="5.88888888888889" customWidth="1"/>
    <col min="21" max="21" width="6.11111111111111" customWidth="1"/>
  </cols>
  <sheetData>
    <row r="2" ht="24" customHeight="1" spans="13:17">
      <c r="M2" s="88" t="s">
        <v>82</v>
      </c>
      <c r="N2" s="88"/>
      <c r="O2" s="88"/>
      <c r="P2" s="88" t="s">
        <v>1</v>
      </c>
      <c r="Q2" s="88" t="s">
        <v>83</v>
      </c>
    </row>
    <row r="3" ht="38.25" customHeight="1" spans="1:21">
      <c r="A3" s="70" t="s">
        <v>4</v>
      </c>
      <c r="B3" s="70" t="s">
        <v>5</v>
      </c>
      <c r="C3" s="70" t="s">
        <v>84</v>
      </c>
      <c r="D3" s="70" t="s">
        <v>7</v>
      </c>
      <c r="E3" s="70" t="s">
        <v>8</v>
      </c>
      <c r="F3" s="71" t="s">
        <v>85</v>
      </c>
      <c r="G3" s="72" t="s">
        <v>6</v>
      </c>
      <c r="H3" s="72" t="s">
        <v>9</v>
      </c>
      <c r="I3" s="89" t="s">
        <v>10</v>
      </c>
      <c r="J3" s="70" t="s">
        <v>13</v>
      </c>
      <c r="K3" s="70" t="s">
        <v>86</v>
      </c>
      <c r="L3" s="70" t="s">
        <v>87</v>
      </c>
      <c r="M3" s="70" t="s">
        <v>23</v>
      </c>
      <c r="N3" s="70" t="s">
        <v>24</v>
      </c>
      <c r="O3" s="70" t="s">
        <v>14</v>
      </c>
      <c r="P3" s="89" t="s">
        <v>15</v>
      </c>
      <c r="Q3" s="89" t="s">
        <v>88</v>
      </c>
      <c r="R3" s="89" t="s">
        <v>89</v>
      </c>
      <c r="S3" s="89" t="s">
        <v>25</v>
      </c>
      <c r="T3" s="89" t="s">
        <v>90</v>
      </c>
      <c r="U3" s="102" t="s">
        <v>91</v>
      </c>
    </row>
    <row r="4" s="1" customFormat="1" ht="13.2" spans="1:21">
      <c r="A4" s="29"/>
      <c r="B4" s="73" t="s">
        <v>92</v>
      </c>
      <c r="C4" s="74"/>
      <c r="D4" s="75">
        <v>9</v>
      </c>
      <c r="E4" s="75">
        <v>11</v>
      </c>
      <c r="F4" s="76">
        <v>43734</v>
      </c>
      <c r="G4" s="75">
        <v>0</v>
      </c>
      <c r="H4" s="77">
        <f>D4+E4+G4</f>
        <v>20</v>
      </c>
      <c r="I4" s="90">
        <f>(D4+E4)/O4</f>
        <v>49.0654205607477</v>
      </c>
      <c r="J4" s="77">
        <v>8</v>
      </c>
      <c r="K4" s="77">
        <v>7</v>
      </c>
      <c r="L4" s="77">
        <v>3</v>
      </c>
      <c r="M4" s="91">
        <v>20</v>
      </c>
      <c r="N4" s="92">
        <v>60</v>
      </c>
      <c r="O4" s="93">
        <f t="shared" ref="O4:O11" si="0">((J4/30)*0.2)+((K4/15)*0.3)+((L4/7)*0.5)</f>
        <v>0.407619047619048</v>
      </c>
      <c r="P4" s="90">
        <f t="shared" ref="P4:P43" si="1">I4-M4</f>
        <v>29.0654205607477</v>
      </c>
      <c r="Q4" s="90" t="str">
        <f t="shared" ref="Q4:Q11" si="2">IF(D4/O4&gt;25,"否","加急")</f>
        <v>加急</v>
      </c>
      <c r="R4" s="90">
        <f t="shared" ref="R4:R43" si="3">O4*(M4+N4)-D4</f>
        <v>23.6095238095238</v>
      </c>
      <c r="S4" s="90">
        <v>30</v>
      </c>
      <c r="T4" s="90">
        <f>O4*(M4+N4+S4)-H4</f>
        <v>24.8380952380952</v>
      </c>
      <c r="U4" s="103">
        <v>25</v>
      </c>
    </row>
    <row r="5" s="1" customFormat="1" ht="13.2" spans="1:21">
      <c r="A5" s="10"/>
      <c r="B5" s="78" t="s">
        <v>93</v>
      </c>
      <c r="C5" s="79"/>
      <c r="D5" s="80">
        <v>3</v>
      </c>
      <c r="E5" s="80">
        <v>24</v>
      </c>
      <c r="F5" s="81">
        <v>43734</v>
      </c>
      <c r="G5" s="80">
        <v>0</v>
      </c>
      <c r="H5" s="82">
        <f t="shared" ref="H5:H43" si="4">D5+E5+G5</f>
        <v>27</v>
      </c>
      <c r="I5" s="94">
        <f t="shared" ref="I5:I43" si="5">(D5+E5)/O5</f>
        <v>68.4782608695652</v>
      </c>
      <c r="J5" s="82">
        <v>9</v>
      </c>
      <c r="K5" s="82">
        <v>6</v>
      </c>
      <c r="L5" s="82">
        <v>3</v>
      </c>
      <c r="M5" s="95">
        <v>20</v>
      </c>
      <c r="N5" s="92">
        <v>60</v>
      </c>
      <c r="O5" s="96">
        <f t="shared" si="0"/>
        <v>0.394285714285714</v>
      </c>
      <c r="P5" s="94">
        <f t="shared" si="1"/>
        <v>48.4782608695652</v>
      </c>
      <c r="Q5" s="94" t="str">
        <f t="shared" si="2"/>
        <v>加急</v>
      </c>
      <c r="R5" s="94">
        <f t="shared" si="3"/>
        <v>28.5428571428571</v>
      </c>
      <c r="S5" s="94">
        <v>30</v>
      </c>
      <c r="T5" s="94">
        <f t="shared" ref="T5:T43" si="6">O5*(M5+N5+S5)-H5</f>
        <v>16.3714285714286</v>
      </c>
      <c r="U5" s="104">
        <v>20</v>
      </c>
    </row>
    <row r="6" s="1" customFormat="1" ht="13.2" spans="1:21">
      <c r="A6" s="10"/>
      <c r="B6" s="78" t="s">
        <v>94</v>
      </c>
      <c r="C6" s="79"/>
      <c r="D6" s="80">
        <v>24</v>
      </c>
      <c r="E6" s="80">
        <v>10</v>
      </c>
      <c r="F6" s="81">
        <v>43734</v>
      </c>
      <c r="G6" s="80">
        <v>0</v>
      </c>
      <c r="H6" s="82">
        <f t="shared" si="4"/>
        <v>34</v>
      </c>
      <c r="I6" s="94">
        <f t="shared" si="5"/>
        <v>324.545454545455</v>
      </c>
      <c r="J6" s="82">
        <v>2</v>
      </c>
      <c r="K6" s="82">
        <v>1</v>
      </c>
      <c r="L6" s="82">
        <v>1</v>
      </c>
      <c r="M6" s="95">
        <v>20</v>
      </c>
      <c r="N6" s="92">
        <v>60</v>
      </c>
      <c r="O6" s="96">
        <f t="shared" si="0"/>
        <v>0.104761904761905</v>
      </c>
      <c r="P6" s="94">
        <f t="shared" si="1"/>
        <v>304.545454545455</v>
      </c>
      <c r="Q6" s="94" t="str">
        <f t="shared" si="2"/>
        <v>否</v>
      </c>
      <c r="R6" s="94">
        <f t="shared" si="3"/>
        <v>-15.6190476190476</v>
      </c>
      <c r="S6" s="94">
        <v>30</v>
      </c>
      <c r="T6" s="94">
        <f t="shared" si="6"/>
        <v>-22.4761904761905</v>
      </c>
      <c r="U6" s="104"/>
    </row>
    <row r="7" s="1" customFormat="1" ht="13.2" spans="1:21">
      <c r="A7" s="10"/>
      <c r="B7" s="78" t="s">
        <v>95</v>
      </c>
      <c r="C7" s="79"/>
      <c r="D7" s="80">
        <v>13</v>
      </c>
      <c r="E7" s="80">
        <v>0</v>
      </c>
      <c r="F7" s="81">
        <v>43734</v>
      </c>
      <c r="G7" s="80">
        <v>0</v>
      </c>
      <c r="H7" s="82">
        <f t="shared" si="4"/>
        <v>13</v>
      </c>
      <c r="I7" s="94">
        <f t="shared" si="5"/>
        <v>15.6357388316151</v>
      </c>
      <c r="J7" s="82">
        <v>12</v>
      </c>
      <c r="K7" s="82">
        <v>9</v>
      </c>
      <c r="L7" s="82">
        <v>8</v>
      </c>
      <c r="M7" s="95">
        <v>20</v>
      </c>
      <c r="N7" s="92">
        <v>60</v>
      </c>
      <c r="O7" s="96">
        <f t="shared" si="0"/>
        <v>0.831428571428571</v>
      </c>
      <c r="P7" s="94">
        <f t="shared" si="1"/>
        <v>-4.36426116838488</v>
      </c>
      <c r="Q7" s="94" t="str">
        <f t="shared" si="2"/>
        <v>加急</v>
      </c>
      <c r="R7" s="94">
        <f t="shared" si="3"/>
        <v>53.5142857142857</v>
      </c>
      <c r="S7" s="94">
        <v>30</v>
      </c>
      <c r="T7" s="94">
        <f t="shared" si="6"/>
        <v>78.4571428571429</v>
      </c>
      <c r="U7" s="104">
        <v>80</v>
      </c>
    </row>
    <row r="8" s="1" customFormat="1" ht="13.2" spans="1:21">
      <c r="A8" s="10"/>
      <c r="B8" s="78" t="s">
        <v>96</v>
      </c>
      <c r="C8" s="79"/>
      <c r="D8" s="80">
        <v>30</v>
      </c>
      <c r="E8" s="80">
        <v>60</v>
      </c>
      <c r="F8" s="81">
        <v>43734</v>
      </c>
      <c r="G8" s="80">
        <v>28</v>
      </c>
      <c r="H8" s="82">
        <f t="shared" si="4"/>
        <v>118</v>
      </c>
      <c r="I8" s="94">
        <f t="shared" si="5"/>
        <v>59.7722960151803</v>
      </c>
      <c r="J8" s="82">
        <v>48</v>
      </c>
      <c r="K8" s="82">
        <v>20</v>
      </c>
      <c r="L8" s="82">
        <v>11</v>
      </c>
      <c r="M8" s="95">
        <v>20</v>
      </c>
      <c r="N8" s="92">
        <v>60</v>
      </c>
      <c r="O8" s="96">
        <f t="shared" si="0"/>
        <v>1.50571428571429</v>
      </c>
      <c r="P8" s="94">
        <f t="shared" si="1"/>
        <v>39.7722960151803</v>
      </c>
      <c r="Q8" s="94" t="str">
        <f t="shared" si="2"/>
        <v>加急</v>
      </c>
      <c r="R8" s="94">
        <f t="shared" si="3"/>
        <v>90.4571428571429</v>
      </c>
      <c r="S8" s="94">
        <v>30</v>
      </c>
      <c r="T8" s="94">
        <f t="shared" si="6"/>
        <v>47.6285714285714</v>
      </c>
      <c r="U8" s="104">
        <v>50</v>
      </c>
    </row>
    <row r="9" s="1" customFormat="1" ht="13.2" spans="1:21">
      <c r="A9" s="10"/>
      <c r="B9" s="78" t="s">
        <v>97</v>
      </c>
      <c r="C9" s="79"/>
      <c r="D9" s="80">
        <v>48</v>
      </c>
      <c r="E9" s="80">
        <v>25</v>
      </c>
      <c r="F9" s="81">
        <v>43734</v>
      </c>
      <c r="G9" s="80">
        <v>66</v>
      </c>
      <c r="H9" s="82">
        <f t="shared" si="4"/>
        <v>139</v>
      </c>
      <c r="I9" s="94">
        <f t="shared" si="5"/>
        <v>41.2096774193548</v>
      </c>
      <c r="J9" s="82">
        <v>36</v>
      </c>
      <c r="K9" s="82">
        <v>23</v>
      </c>
      <c r="L9" s="82">
        <v>15</v>
      </c>
      <c r="M9" s="95">
        <v>20</v>
      </c>
      <c r="N9" s="92">
        <v>60</v>
      </c>
      <c r="O9" s="96">
        <f t="shared" si="0"/>
        <v>1.77142857142857</v>
      </c>
      <c r="P9" s="94">
        <f t="shared" si="1"/>
        <v>21.2096774193548</v>
      </c>
      <c r="Q9" s="94" t="str">
        <f t="shared" si="2"/>
        <v>否</v>
      </c>
      <c r="R9" s="94">
        <f t="shared" si="3"/>
        <v>93.7142857142857</v>
      </c>
      <c r="S9" s="94">
        <v>30</v>
      </c>
      <c r="T9" s="94">
        <f t="shared" si="6"/>
        <v>55.8571428571429</v>
      </c>
      <c r="U9" s="104">
        <v>60</v>
      </c>
    </row>
    <row r="10" s="1" customFormat="1" ht="13.2" spans="1:21">
      <c r="A10" s="10"/>
      <c r="B10" s="78" t="s">
        <v>98</v>
      </c>
      <c r="C10" s="79"/>
      <c r="D10" s="80">
        <v>29</v>
      </c>
      <c r="E10" s="80">
        <v>40</v>
      </c>
      <c r="F10" s="81">
        <v>43734</v>
      </c>
      <c r="G10" s="80">
        <v>53</v>
      </c>
      <c r="H10" s="82">
        <f t="shared" si="4"/>
        <v>122</v>
      </c>
      <c r="I10" s="94">
        <f t="shared" si="5"/>
        <v>39.2045454545455</v>
      </c>
      <c r="J10" s="82">
        <v>42</v>
      </c>
      <c r="K10" s="82">
        <v>24</v>
      </c>
      <c r="L10" s="82">
        <v>14</v>
      </c>
      <c r="M10" s="95">
        <v>20</v>
      </c>
      <c r="N10" s="92">
        <v>60</v>
      </c>
      <c r="O10" s="96">
        <f t="shared" si="0"/>
        <v>1.76</v>
      </c>
      <c r="P10" s="94">
        <f t="shared" si="1"/>
        <v>19.2045454545455</v>
      </c>
      <c r="Q10" s="94" t="str">
        <f t="shared" si="2"/>
        <v>加急</v>
      </c>
      <c r="R10" s="94">
        <f t="shared" si="3"/>
        <v>111.8</v>
      </c>
      <c r="S10" s="94">
        <v>30</v>
      </c>
      <c r="T10" s="94">
        <f t="shared" si="6"/>
        <v>71.6</v>
      </c>
      <c r="U10" s="104">
        <v>80</v>
      </c>
    </row>
    <row r="11" s="1" customFormat="1" ht="13.95" spans="1:21">
      <c r="A11" s="23"/>
      <c r="B11" s="83" t="s">
        <v>99</v>
      </c>
      <c r="C11" s="84"/>
      <c r="D11" s="85">
        <v>31</v>
      </c>
      <c r="E11" s="85">
        <v>23</v>
      </c>
      <c r="F11" s="86">
        <v>43734</v>
      </c>
      <c r="G11" s="85">
        <v>0</v>
      </c>
      <c r="H11" s="87">
        <f t="shared" si="4"/>
        <v>54</v>
      </c>
      <c r="I11" s="94">
        <f t="shared" si="5"/>
        <v>68.8942891859052</v>
      </c>
      <c r="J11" s="87">
        <v>28</v>
      </c>
      <c r="K11" s="87">
        <v>12</v>
      </c>
      <c r="L11" s="87">
        <v>5</v>
      </c>
      <c r="M11" s="97">
        <v>20</v>
      </c>
      <c r="N11" s="98">
        <v>60</v>
      </c>
      <c r="O11" s="99">
        <f t="shared" si="0"/>
        <v>0.783809523809524</v>
      </c>
      <c r="P11" s="100">
        <f t="shared" si="1"/>
        <v>48.8942891859052</v>
      </c>
      <c r="Q11" s="100" t="str">
        <f t="shared" si="2"/>
        <v>否</v>
      </c>
      <c r="R11" s="100">
        <f t="shared" si="3"/>
        <v>31.7047619047619</v>
      </c>
      <c r="S11" s="100">
        <v>30</v>
      </c>
      <c r="T11" s="100">
        <f t="shared" si="6"/>
        <v>32.2190476190476</v>
      </c>
      <c r="U11" s="105">
        <v>35</v>
      </c>
    </row>
    <row r="12" s="1" customFormat="1" ht="13.2" spans="1:21">
      <c r="A12" s="29"/>
      <c r="B12" s="73" t="s">
        <v>100</v>
      </c>
      <c r="C12" s="74"/>
      <c r="D12" s="75">
        <v>17</v>
      </c>
      <c r="E12" s="75">
        <v>0</v>
      </c>
      <c r="F12" s="76">
        <v>43734</v>
      </c>
      <c r="G12" s="75">
        <v>23</v>
      </c>
      <c r="H12" s="77">
        <f t="shared" si="4"/>
        <v>40</v>
      </c>
      <c r="I12" s="90">
        <f t="shared" si="5"/>
        <v>88.8059701492537</v>
      </c>
      <c r="J12" s="77">
        <v>9</v>
      </c>
      <c r="K12" s="77">
        <v>3</v>
      </c>
      <c r="L12" s="77">
        <v>1</v>
      </c>
      <c r="M12" s="91">
        <v>20</v>
      </c>
      <c r="N12" s="101">
        <v>60</v>
      </c>
      <c r="O12" s="93">
        <f t="shared" ref="O12:O43" si="7">((J12/30)*0.2)+((K12/15)*0.3)+((L12/7)*0.5)</f>
        <v>0.191428571428571</v>
      </c>
      <c r="P12" s="90">
        <f t="shared" si="1"/>
        <v>68.8059701492537</v>
      </c>
      <c r="Q12" s="90" t="str">
        <f t="shared" ref="Q12:Q43" si="8">IF(D12/O12&gt;25,"否","加急")</f>
        <v>否</v>
      </c>
      <c r="R12" s="90">
        <f t="shared" si="3"/>
        <v>-1.68571428571429</v>
      </c>
      <c r="S12" s="90">
        <v>30</v>
      </c>
      <c r="T12" s="90">
        <f t="shared" si="6"/>
        <v>-18.9428571428571</v>
      </c>
      <c r="U12" s="103"/>
    </row>
    <row r="13" s="1" customFormat="1" ht="13.2" spans="1:21">
      <c r="A13" s="10"/>
      <c r="B13" s="78" t="s">
        <v>101</v>
      </c>
      <c r="C13" s="79"/>
      <c r="D13" s="80">
        <v>1</v>
      </c>
      <c r="E13" s="80">
        <v>20</v>
      </c>
      <c r="F13" s="81">
        <v>43734</v>
      </c>
      <c r="G13" s="80">
        <v>12</v>
      </c>
      <c r="H13" s="82">
        <f t="shared" si="4"/>
        <v>33</v>
      </c>
      <c r="I13" s="94">
        <f t="shared" si="5"/>
        <v>630</v>
      </c>
      <c r="J13" s="82">
        <v>5</v>
      </c>
      <c r="K13" s="82">
        <v>0</v>
      </c>
      <c r="L13" s="82">
        <v>0</v>
      </c>
      <c r="M13" s="95">
        <v>20</v>
      </c>
      <c r="N13" s="92">
        <v>60</v>
      </c>
      <c r="O13" s="96">
        <f t="shared" si="7"/>
        <v>0.0333333333333333</v>
      </c>
      <c r="P13" s="94">
        <f t="shared" si="1"/>
        <v>610</v>
      </c>
      <c r="Q13" s="94" t="str">
        <f t="shared" si="8"/>
        <v>否</v>
      </c>
      <c r="R13" s="94">
        <f t="shared" si="3"/>
        <v>1.66666666666667</v>
      </c>
      <c r="S13" s="94">
        <v>30</v>
      </c>
      <c r="T13" s="94">
        <f t="shared" si="6"/>
        <v>-29.3333333333333</v>
      </c>
      <c r="U13" s="104"/>
    </row>
    <row r="14" s="1" customFormat="1" ht="13.2" spans="1:21">
      <c r="A14" s="10"/>
      <c r="B14" s="78" t="s">
        <v>102</v>
      </c>
      <c r="C14" s="79"/>
      <c r="D14" s="80">
        <v>3</v>
      </c>
      <c r="E14" s="80">
        <v>0</v>
      </c>
      <c r="F14" s="81">
        <v>43734</v>
      </c>
      <c r="G14" s="80">
        <v>9</v>
      </c>
      <c r="H14" s="82">
        <f t="shared" si="4"/>
        <v>12</v>
      </c>
      <c r="I14" s="94">
        <f t="shared" si="5"/>
        <v>13.0705394190871</v>
      </c>
      <c r="J14" s="82">
        <v>7</v>
      </c>
      <c r="K14" s="82">
        <v>2</v>
      </c>
      <c r="L14" s="82">
        <v>2</v>
      </c>
      <c r="M14" s="95">
        <v>20</v>
      </c>
      <c r="N14" s="92">
        <v>60</v>
      </c>
      <c r="O14" s="96">
        <f t="shared" si="7"/>
        <v>0.22952380952381</v>
      </c>
      <c r="P14" s="94">
        <f t="shared" si="1"/>
        <v>-6.92946058091286</v>
      </c>
      <c r="Q14" s="94" t="str">
        <f t="shared" si="8"/>
        <v>加急</v>
      </c>
      <c r="R14" s="94">
        <f t="shared" si="3"/>
        <v>15.3619047619048</v>
      </c>
      <c r="S14" s="94">
        <v>30</v>
      </c>
      <c r="T14" s="94">
        <f t="shared" si="6"/>
        <v>13.247619047619</v>
      </c>
      <c r="U14" s="104">
        <v>15</v>
      </c>
    </row>
    <row r="15" s="1" customFormat="1" ht="13.2" spans="1:21">
      <c r="A15" s="10"/>
      <c r="B15" s="78" t="s">
        <v>103</v>
      </c>
      <c r="C15" s="79"/>
      <c r="D15" s="80">
        <v>4</v>
      </c>
      <c r="E15" s="80">
        <v>0</v>
      </c>
      <c r="F15" s="81">
        <v>43734</v>
      </c>
      <c r="G15" s="80">
        <v>34</v>
      </c>
      <c r="H15" s="82">
        <f t="shared" si="4"/>
        <v>38</v>
      </c>
      <c r="I15" s="94">
        <f t="shared" si="5"/>
        <v>9.11062906724512</v>
      </c>
      <c r="J15" s="82">
        <v>8</v>
      </c>
      <c r="K15" s="82">
        <v>5</v>
      </c>
      <c r="L15" s="82">
        <v>4</v>
      </c>
      <c r="M15" s="95">
        <v>20</v>
      </c>
      <c r="N15" s="92">
        <v>60</v>
      </c>
      <c r="O15" s="96">
        <f t="shared" si="7"/>
        <v>0.439047619047619</v>
      </c>
      <c r="P15" s="94">
        <f t="shared" si="1"/>
        <v>-10.8893709327549</v>
      </c>
      <c r="Q15" s="94" t="str">
        <f t="shared" si="8"/>
        <v>加急</v>
      </c>
      <c r="R15" s="94">
        <f t="shared" si="3"/>
        <v>31.1238095238095</v>
      </c>
      <c r="S15" s="94">
        <v>30</v>
      </c>
      <c r="T15" s="94">
        <f t="shared" si="6"/>
        <v>10.2952380952381</v>
      </c>
      <c r="U15" s="104">
        <v>10</v>
      </c>
    </row>
    <row r="16" s="1" customFormat="1" ht="13.2" spans="1:21">
      <c r="A16" s="10"/>
      <c r="B16" s="78" t="s">
        <v>104</v>
      </c>
      <c r="C16" s="79"/>
      <c r="D16" s="80">
        <v>6</v>
      </c>
      <c r="E16" s="80">
        <v>0</v>
      </c>
      <c r="F16" s="81">
        <v>43734</v>
      </c>
      <c r="G16" s="80">
        <v>12</v>
      </c>
      <c r="H16" s="82">
        <f t="shared" si="4"/>
        <v>18</v>
      </c>
      <c r="I16" s="94">
        <f t="shared" si="5"/>
        <v>30.5825242718447</v>
      </c>
      <c r="J16" s="82">
        <v>2</v>
      </c>
      <c r="K16" s="82">
        <v>2</v>
      </c>
      <c r="L16" s="82">
        <v>2</v>
      </c>
      <c r="M16" s="95">
        <v>20</v>
      </c>
      <c r="N16" s="92">
        <v>60</v>
      </c>
      <c r="O16" s="96">
        <f t="shared" si="7"/>
        <v>0.196190476190476</v>
      </c>
      <c r="P16" s="94">
        <f t="shared" si="1"/>
        <v>10.5825242718447</v>
      </c>
      <c r="Q16" s="94" t="str">
        <f t="shared" si="8"/>
        <v>否</v>
      </c>
      <c r="R16" s="94">
        <f t="shared" si="3"/>
        <v>9.6952380952381</v>
      </c>
      <c r="S16" s="94">
        <v>30</v>
      </c>
      <c r="T16" s="94">
        <f t="shared" si="6"/>
        <v>3.58095238095238</v>
      </c>
      <c r="U16" s="104">
        <v>10</v>
      </c>
    </row>
    <row r="17" s="1" customFormat="1" ht="13.2" spans="1:21">
      <c r="A17" s="10"/>
      <c r="B17" s="78" t="s">
        <v>105</v>
      </c>
      <c r="C17" s="79"/>
      <c r="D17" s="80">
        <v>6</v>
      </c>
      <c r="E17" s="80">
        <v>0</v>
      </c>
      <c r="F17" s="81">
        <v>43734</v>
      </c>
      <c r="G17" s="80">
        <v>6</v>
      </c>
      <c r="H17" s="82">
        <f t="shared" si="4"/>
        <v>12</v>
      </c>
      <c r="I17" s="94" t="e">
        <f t="shared" si="5"/>
        <v>#DIV/0!</v>
      </c>
      <c r="J17" s="82">
        <v>0</v>
      </c>
      <c r="K17" s="82">
        <v>0</v>
      </c>
      <c r="L17" s="82">
        <v>0</v>
      </c>
      <c r="M17" s="95">
        <v>20</v>
      </c>
      <c r="N17" s="92">
        <v>60</v>
      </c>
      <c r="O17" s="96">
        <f t="shared" si="7"/>
        <v>0</v>
      </c>
      <c r="P17" s="94" t="e">
        <f t="shared" si="1"/>
        <v>#DIV/0!</v>
      </c>
      <c r="Q17" s="94" t="e">
        <f t="shared" si="8"/>
        <v>#DIV/0!</v>
      </c>
      <c r="R17" s="94">
        <f t="shared" si="3"/>
        <v>-6</v>
      </c>
      <c r="S17" s="94">
        <v>30</v>
      </c>
      <c r="T17" s="94">
        <f t="shared" si="6"/>
        <v>-12</v>
      </c>
      <c r="U17" s="104">
        <v>0</v>
      </c>
    </row>
    <row r="18" s="1" customFormat="1" ht="13.2" spans="1:21">
      <c r="A18" s="10"/>
      <c r="B18" s="78" t="s">
        <v>106</v>
      </c>
      <c r="C18" s="79"/>
      <c r="D18" s="80">
        <v>7</v>
      </c>
      <c r="E18" s="80">
        <v>0</v>
      </c>
      <c r="F18" s="81">
        <v>43734</v>
      </c>
      <c r="G18" s="80">
        <v>17</v>
      </c>
      <c r="H18" s="82">
        <f t="shared" si="4"/>
        <v>24</v>
      </c>
      <c r="I18" s="94">
        <f t="shared" si="5"/>
        <v>350</v>
      </c>
      <c r="J18" s="82">
        <v>3</v>
      </c>
      <c r="K18" s="82">
        <v>0</v>
      </c>
      <c r="L18" s="82">
        <v>0</v>
      </c>
      <c r="M18" s="95">
        <v>20</v>
      </c>
      <c r="N18" s="92">
        <v>60</v>
      </c>
      <c r="O18" s="96">
        <f t="shared" si="7"/>
        <v>0.02</v>
      </c>
      <c r="P18" s="94">
        <f t="shared" si="1"/>
        <v>330</v>
      </c>
      <c r="Q18" s="94" t="str">
        <f t="shared" si="8"/>
        <v>否</v>
      </c>
      <c r="R18" s="94">
        <f t="shared" si="3"/>
        <v>-5.4</v>
      </c>
      <c r="S18" s="94">
        <v>30</v>
      </c>
      <c r="T18" s="94">
        <f t="shared" si="6"/>
        <v>-21.8</v>
      </c>
      <c r="U18" s="104">
        <v>0</v>
      </c>
    </row>
    <row r="19" s="1" customFormat="1" ht="13.95" spans="1:21">
      <c r="A19" s="23"/>
      <c r="B19" s="83" t="s">
        <v>107</v>
      </c>
      <c r="C19" s="84"/>
      <c r="D19" s="85">
        <v>5</v>
      </c>
      <c r="E19" s="85">
        <v>0</v>
      </c>
      <c r="F19" s="86">
        <v>43734</v>
      </c>
      <c r="G19" s="85">
        <v>7</v>
      </c>
      <c r="H19" s="87">
        <f t="shared" si="4"/>
        <v>12</v>
      </c>
      <c r="I19" s="94">
        <f t="shared" si="5"/>
        <v>50.9708737864078</v>
      </c>
      <c r="J19" s="87">
        <v>1</v>
      </c>
      <c r="K19" s="87">
        <v>1</v>
      </c>
      <c r="L19" s="87">
        <v>1</v>
      </c>
      <c r="M19" s="97">
        <v>20</v>
      </c>
      <c r="N19" s="98">
        <v>60</v>
      </c>
      <c r="O19" s="99">
        <f t="shared" si="7"/>
        <v>0.0980952380952381</v>
      </c>
      <c r="P19" s="100">
        <f t="shared" si="1"/>
        <v>30.9708737864078</v>
      </c>
      <c r="Q19" s="100" t="str">
        <f t="shared" si="8"/>
        <v>否</v>
      </c>
      <c r="R19" s="100">
        <f t="shared" si="3"/>
        <v>2.84761904761905</v>
      </c>
      <c r="S19" s="100">
        <v>30</v>
      </c>
      <c r="T19" s="100">
        <f t="shared" si="6"/>
        <v>-1.20952380952381</v>
      </c>
      <c r="U19" s="105">
        <v>10</v>
      </c>
    </row>
    <row r="20" s="1" customFormat="1" ht="13.2" spans="1:21">
      <c r="A20" s="29"/>
      <c r="B20" s="73" t="s">
        <v>108</v>
      </c>
      <c r="C20" s="74"/>
      <c r="D20" s="75">
        <v>8</v>
      </c>
      <c r="E20" s="75">
        <v>0</v>
      </c>
      <c r="F20" s="76">
        <v>43734</v>
      </c>
      <c r="G20" s="75">
        <v>23</v>
      </c>
      <c r="H20" s="77">
        <f t="shared" si="4"/>
        <v>31</v>
      </c>
      <c r="I20" s="90">
        <f t="shared" si="5"/>
        <v>16.4705882352941</v>
      </c>
      <c r="J20" s="77">
        <v>9</v>
      </c>
      <c r="K20" s="77">
        <v>7</v>
      </c>
      <c r="L20" s="77">
        <v>4</v>
      </c>
      <c r="M20" s="91">
        <v>20</v>
      </c>
      <c r="N20" s="101">
        <v>60</v>
      </c>
      <c r="O20" s="93">
        <f t="shared" si="7"/>
        <v>0.485714285714286</v>
      </c>
      <c r="P20" s="90">
        <f t="shared" si="1"/>
        <v>-3.52941176470588</v>
      </c>
      <c r="Q20" s="90" t="str">
        <f t="shared" si="8"/>
        <v>加急</v>
      </c>
      <c r="R20" s="90">
        <f t="shared" si="3"/>
        <v>30.8571428571429</v>
      </c>
      <c r="S20" s="90">
        <v>30</v>
      </c>
      <c r="T20" s="90">
        <f t="shared" si="6"/>
        <v>22.4285714285714</v>
      </c>
      <c r="U20" s="103">
        <v>25</v>
      </c>
    </row>
    <row r="21" s="1" customFormat="1" ht="13.2" spans="1:21">
      <c r="A21" s="10"/>
      <c r="B21" s="78" t="s">
        <v>109</v>
      </c>
      <c r="C21" s="79"/>
      <c r="D21" s="80">
        <v>10</v>
      </c>
      <c r="E21" s="80">
        <v>0</v>
      </c>
      <c r="F21" s="81">
        <v>43734</v>
      </c>
      <c r="G21" s="80">
        <v>27</v>
      </c>
      <c r="H21" s="82">
        <f t="shared" si="4"/>
        <v>37</v>
      </c>
      <c r="I21" s="94">
        <f t="shared" si="5"/>
        <v>22.4358974358974</v>
      </c>
      <c r="J21" s="82">
        <v>6</v>
      </c>
      <c r="K21" s="82">
        <v>6</v>
      </c>
      <c r="L21" s="82">
        <v>4</v>
      </c>
      <c r="M21" s="95">
        <v>20</v>
      </c>
      <c r="N21" s="92">
        <v>60</v>
      </c>
      <c r="O21" s="96">
        <f t="shared" si="7"/>
        <v>0.445714285714286</v>
      </c>
      <c r="P21" s="94">
        <f t="shared" si="1"/>
        <v>2.43589743589743</v>
      </c>
      <c r="Q21" s="94" t="str">
        <f t="shared" si="8"/>
        <v>加急</v>
      </c>
      <c r="R21" s="94">
        <f t="shared" si="3"/>
        <v>25.6571428571429</v>
      </c>
      <c r="S21" s="94">
        <v>30</v>
      </c>
      <c r="T21" s="94">
        <f t="shared" si="6"/>
        <v>12.0285714285714</v>
      </c>
      <c r="U21" s="104">
        <v>15</v>
      </c>
    </row>
    <row r="22" s="1" customFormat="1" ht="13.2" spans="1:21">
      <c r="A22" s="10"/>
      <c r="B22" s="78" t="s">
        <v>110</v>
      </c>
      <c r="C22" s="79"/>
      <c r="D22" s="80">
        <v>8</v>
      </c>
      <c r="E22" s="80">
        <v>4</v>
      </c>
      <c r="F22" s="81">
        <v>43734</v>
      </c>
      <c r="G22" s="80">
        <v>0</v>
      </c>
      <c r="H22" s="82">
        <f t="shared" si="4"/>
        <v>12</v>
      </c>
      <c r="I22" s="94">
        <f t="shared" si="5"/>
        <v>62.6865671641791</v>
      </c>
      <c r="J22" s="82">
        <v>12</v>
      </c>
      <c r="K22" s="82">
        <v>2</v>
      </c>
      <c r="L22" s="82">
        <v>1</v>
      </c>
      <c r="M22" s="95">
        <v>20</v>
      </c>
      <c r="N22" s="92">
        <v>60</v>
      </c>
      <c r="O22" s="96">
        <f t="shared" si="7"/>
        <v>0.191428571428571</v>
      </c>
      <c r="P22" s="94">
        <f t="shared" si="1"/>
        <v>42.6865671641791</v>
      </c>
      <c r="Q22" s="94" t="str">
        <f t="shared" si="8"/>
        <v>否</v>
      </c>
      <c r="R22" s="94">
        <f t="shared" si="3"/>
        <v>7.31428571428572</v>
      </c>
      <c r="S22" s="94">
        <v>30</v>
      </c>
      <c r="T22" s="94">
        <f t="shared" si="6"/>
        <v>9.05714285714286</v>
      </c>
      <c r="U22" s="104">
        <v>10</v>
      </c>
    </row>
    <row r="23" s="1" customFormat="1" ht="13.2" spans="1:21">
      <c r="A23" s="10"/>
      <c r="B23" s="78" t="s">
        <v>111</v>
      </c>
      <c r="C23" s="79"/>
      <c r="D23" s="80">
        <v>11</v>
      </c>
      <c r="E23" s="80">
        <v>0</v>
      </c>
      <c r="F23" s="81">
        <v>43734</v>
      </c>
      <c r="G23" s="80">
        <v>13</v>
      </c>
      <c r="H23" s="82">
        <f t="shared" si="4"/>
        <v>24</v>
      </c>
      <c r="I23" s="94">
        <f t="shared" si="5"/>
        <v>98.7179487179487</v>
      </c>
      <c r="J23" s="82">
        <v>3</v>
      </c>
      <c r="K23" s="82">
        <v>1</v>
      </c>
      <c r="L23" s="82">
        <v>1</v>
      </c>
      <c r="M23" s="95">
        <v>20</v>
      </c>
      <c r="N23" s="92">
        <v>60</v>
      </c>
      <c r="O23" s="96">
        <f t="shared" si="7"/>
        <v>0.111428571428571</v>
      </c>
      <c r="P23" s="94">
        <f t="shared" si="1"/>
        <v>78.7179487179487</v>
      </c>
      <c r="Q23" s="94" t="str">
        <f t="shared" si="8"/>
        <v>否</v>
      </c>
      <c r="R23" s="94">
        <f t="shared" si="3"/>
        <v>-2.08571428571429</v>
      </c>
      <c r="S23" s="94">
        <v>30</v>
      </c>
      <c r="T23" s="94">
        <f t="shared" si="6"/>
        <v>-11.7428571428571</v>
      </c>
      <c r="U23" s="104"/>
    </row>
    <row r="24" s="1" customFormat="1" ht="13.2" spans="1:21">
      <c r="A24" s="10"/>
      <c r="B24" s="78" t="s">
        <v>112</v>
      </c>
      <c r="C24" s="79"/>
      <c r="D24" s="80">
        <v>8</v>
      </c>
      <c r="E24" s="80">
        <v>0</v>
      </c>
      <c r="F24" s="81">
        <v>43734</v>
      </c>
      <c r="G24" s="80">
        <v>22</v>
      </c>
      <c r="H24" s="82">
        <f t="shared" si="4"/>
        <v>30</v>
      </c>
      <c r="I24" s="94">
        <f t="shared" si="5"/>
        <v>27.1844660194175</v>
      </c>
      <c r="J24" s="82">
        <v>3</v>
      </c>
      <c r="K24" s="82">
        <v>3</v>
      </c>
      <c r="L24" s="82">
        <v>3</v>
      </c>
      <c r="M24" s="95">
        <v>20</v>
      </c>
      <c r="N24" s="92">
        <v>60</v>
      </c>
      <c r="O24" s="96">
        <f t="shared" si="7"/>
        <v>0.294285714285714</v>
      </c>
      <c r="P24" s="94">
        <f t="shared" si="1"/>
        <v>7.18446601941748</v>
      </c>
      <c r="Q24" s="94" t="str">
        <f t="shared" si="8"/>
        <v>否</v>
      </c>
      <c r="R24" s="94">
        <f t="shared" si="3"/>
        <v>15.5428571428571</v>
      </c>
      <c r="S24" s="94">
        <v>30</v>
      </c>
      <c r="T24" s="94">
        <f t="shared" si="6"/>
        <v>2.37142857142857</v>
      </c>
      <c r="U24" s="104">
        <v>10</v>
      </c>
    </row>
    <row r="25" s="1" customFormat="1" ht="13.2" spans="1:21">
      <c r="A25" s="10"/>
      <c r="B25" s="78" t="s">
        <v>113</v>
      </c>
      <c r="C25" s="79"/>
      <c r="D25" s="80">
        <v>10</v>
      </c>
      <c r="E25" s="80">
        <v>0</v>
      </c>
      <c r="F25" s="81">
        <v>43734</v>
      </c>
      <c r="G25" s="80">
        <v>12</v>
      </c>
      <c r="H25" s="82">
        <f t="shared" si="4"/>
        <v>22</v>
      </c>
      <c r="I25" s="94" t="e">
        <f t="shared" si="5"/>
        <v>#DIV/0!</v>
      </c>
      <c r="J25" s="82">
        <v>0</v>
      </c>
      <c r="K25" s="82">
        <v>0</v>
      </c>
      <c r="L25" s="82">
        <v>0</v>
      </c>
      <c r="M25" s="95">
        <v>20</v>
      </c>
      <c r="N25" s="92">
        <v>60</v>
      </c>
      <c r="O25" s="96">
        <f t="shared" si="7"/>
        <v>0</v>
      </c>
      <c r="P25" s="94" t="e">
        <f t="shared" si="1"/>
        <v>#DIV/0!</v>
      </c>
      <c r="Q25" s="94" t="e">
        <f t="shared" si="8"/>
        <v>#DIV/0!</v>
      </c>
      <c r="R25" s="94">
        <f t="shared" si="3"/>
        <v>-10</v>
      </c>
      <c r="S25" s="94">
        <v>30</v>
      </c>
      <c r="T25" s="94">
        <f t="shared" si="6"/>
        <v>-22</v>
      </c>
      <c r="U25" s="104"/>
    </row>
    <row r="26" s="1" customFormat="1" ht="13.2" spans="1:21">
      <c r="A26" s="10"/>
      <c r="B26" s="78" t="s">
        <v>114</v>
      </c>
      <c r="C26" s="79"/>
      <c r="D26" s="80">
        <v>9</v>
      </c>
      <c r="E26" s="80">
        <v>0</v>
      </c>
      <c r="F26" s="81">
        <v>43734</v>
      </c>
      <c r="G26" s="80">
        <v>12</v>
      </c>
      <c r="H26" s="82">
        <f t="shared" si="4"/>
        <v>21</v>
      </c>
      <c r="I26" s="94">
        <f t="shared" si="5"/>
        <v>91.747572815534</v>
      </c>
      <c r="J26" s="82">
        <v>1</v>
      </c>
      <c r="K26" s="82">
        <v>1</v>
      </c>
      <c r="L26" s="82">
        <v>1</v>
      </c>
      <c r="M26" s="95">
        <v>20</v>
      </c>
      <c r="N26" s="92">
        <v>60</v>
      </c>
      <c r="O26" s="96">
        <f t="shared" si="7"/>
        <v>0.0980952380952381</v>
      </c>
      <c r="P26" s="94">
        <f t="shared" si="1"/>
        <v>71.747572815534</v>
      </c>
      <c r="Q26" s="94" t="str">
        <f t="shared" si="8"/>
        <v>否</v>
      </c>
      <c r="R26" s="94">
        <f t="shared" si="3"/>
        <v>-1.15238095238095</v>
      </c>
      <c r="S26" s="94">
        <v>30</v>
      </c>
      <c r="T26" s="94">
        <f t="shared" si="6"/>
        <v>-10.2095238095238</v>
      </c>
      <c r="U26" s="104"/>
    </row>
    <row r="27" s="1" customFormat="1" ht="13.95" spans="1:21">
      <c r="A27" s="23"/>
      <c r="B27" s="83" t="s">
        <v>115</v>
      </c>
      <c r="C27" s="84"/>
      <c r="D27" s="85">
        <v>10</v>
      </c>
      <c r="E27" s="85">
        <v>0</v>
      </c>
      <c r="F27" s="86">
        <v>43734</v>
      </c>
      <c r="G27" s="85">
        <v>12</v>
      </c>
      <c r="H27" s="87">
        <f t="shared" si="4"/>
        <v>22</v>
      </c>
      <c r="I27" s="94" t="e">
        <f t="shared" si="5"/>
        <v>#DIV/0!</v>
      </c>
      <c r="J27" s="87">
        <v>0</v>
      </c>
      <c r="K27" s="87">
        <v>0</v>
      </c>
      <c r="L27" s="87">
        <v>0</v>
      </c>
      <c r="M27" s="97">
        <v>20</v>
      </c>
      <c r="N27" s="98">
        <v>60</v>
      </c>
      <c r="O27" s="99">
        <f t="shared" si="7"/>
        <v>0</v>
      </c>
      <c r="P27" s="100" t="e">
        <f t="shared" si="1"/>
        <v>#DIV/0!</v>
      </c>
      <c r="Q27" s="100" t="e">
        <f t="shared" si="8"/>
        <v>#DIV/0!</v>
      </c>
      <c r="R27" s="100">
        <f t="shared" si="3"/>
        <v>-10</v>
      </c>
      <c r="S27" s="100">
        <v>30</v>
      </c>
      <c r="T27" s="100">
        <f t="shared" si="6"/>
        <v>-22</v>
      </c>
      <c r="U27" s="105"/>
    </row>
    <row r="28" s="1" customFormat="1" ht="13.2" spans="1:21">
      <c r="A28" s="29"/>
      <c r="B28" s="73" t="s">
        <v>116</v>
      </c>
      <c r="C28" s="74"/>
      <c r="D28" s="75">
        <v>6</v>
      </c>
      <c r="E28" s="75">
        <v>20</v>
      </c>
      <c r="F28" s="76">
        <v>43734</v>
      </c>
      <c r="G28" s="75">
        <v>3</v>
      </c>
      <c r="H28" s="77">
        <f t="shared" si="4"/>
        <v>29</v>
      </c>
      <c r="I28" s="90">
        <f t="shared" si="5"/>
        <v>110.08064516129</v>
      </c>
      <c r="J28" s="77">
        <v>5</v>
      </c>
      <c r="K28" s="77">
        <v>3</v>
      </c>
      <c r="L28" s="77">
        <v>2</v>
      </c>
      <c r="M28" s="91">
        <v>20</v>
      </c>
      <c r="N28" s="101">
        <v>60</v>
      </c>
      <c r="O28" s="93">
        <f t="shared" si="7"/>
        <v>0.236190476190476</v>
      </c>
      <c r="P28" s="90">
        <f t="shared" si="1"/>
        <v>90.0806451612903</v>
      </c>
      <c r="Q28" s="90" t="str">
        <f t="shared" si="8"/>
        <v>否</v>
      </c>
      <c r="R28" s="90">
        <f t="shared" si="3"/>
        <v>12.8952380952381</v>
      </c>
      <c r="S28" s="90">
        <v>30</v>
      </c>
      <c r="T28" s="90">
        <f t="shared" si="6"/>
        <v>-3.01904761904762</v>
      </c>
      <c r="U28" s="103">
        <v>5</v>
      </c>
    </row>
    <row r="29" s="1" customFormat="1" ht="13.2" spans="1:21">
      <c r="A29" s="10"/>
      <c r="B29" s="78" t="s">
        <v>117</v>
      </c>
      <c r="C29" s="79"/>
      <c r="D29" s="80">
        <v>5</v>
      </c>
      <c r="E29" s="80">
        <v>0</v>
      </c>
      <c r="F29" s="81">
        <v>43734</v>
      </c>
      <c r="G29" s="80">
        <v>14</v>
      </c>
      <c r="H29" s="82">
        <f t="shared" si="4"/>
        <v>19</v>
      </c>
      <c r="I29" s="94">
        <f t="shared" si="5"/>
        <v>21.1693548387097</v>
      </c>
      <c r="J29" s="82">
        <v>5</v>
      </c>
      <c r="K29" s="82">
        <v>3</v>
      </c>
      <c r="L29" s="82">
        <v>2</v>
      </c>
      <c r="M29" s="95">
        <v>20</v>
      </c>
      <c r="N29" s="92">
        <v>60</v>
      </c>
      <c r="O29" s="96">
        <f t="shared" si="7"/>
        <v>0.236190476190476</v>
      </c>
      <c r="P29" s="94">
        <f t="shared" si="1"/>
        <v>1.16935483870968</v>
      </c>
      <c r="Q29" s="94" t="str">
        <f t="shared" si="8"/>
        <v>加急</v>
      </c>
      <c r="R29" s="94">
        <f t="shared" si="3"/>
        <v>13.8952380952381</v>
      </c>
      <c r="S29" s="94">
        <v>30</v>
      </c>
      <c r="T29" s="94">
        <f t="shared" si="6"/>
        <v>6.98095238095238</v>
      </c>
      <c r="U29" s="104">
        <v>10</v>
      </c>
    </row>
    <row r="30" s="1" customFormat="1" ht="13.2" spans="1:21">
      <c r="A30" s="10"/>
      <c r="B30" s="78" t="s">
        <v>118</v>
      </c>
      <c r="C30" s="79"/>
      <c r="D30" s="80">
        <v>5</v>
      </c>
      <c r="E30" s="80">
        <v>0</v>
      </c>
      <c r="F30" s="81">
        <v>43734</v>
      </c>
      <c r="G30" s="80">
        <v>11</v>
      </c>
      <c r="H30" s="82">
        <f t="shared" si="4"/>
        <v>16</v>
      </c>
      <c r="I30" s="94">
        <f t="shared" si="5"/>
        <v>26.1194029850746</v>
      </c>
      <c r="J30" s="82">
        <v>6</v>
      </c>
      <c r="K30" s="82">
        <v>4</v>
      </c>
      <c r="L30" s="82">
        <v>1</v>
      </c>
      <c r="M30" s="95">
        <v>20</v>
      </c>
      <c r="N30" s="92">
        <v>60</v>
      </c>
      <c r="O30" s="96">
        <f t="shared" si="7"/>
        <v>0.191428571428571</v>
      </c>
      <c r="P30" s="94">
        <f t="shared" si="1"/>
        <v>6.11940298507463</v>
      </c>
      <c r="Q30" s="94" t="str">
        <f t="shared" si="8"/>
        <v>否</v>
      </c>
      <c r="R30" s="94">
        <f t="shared" si="3"/>
        <v>10.3142857142857</v>
      </c>
      <c r="S30" s="94">
        <v>30</v>
      </c>
      <c r="T30" s="94">
        <f t="shared" si="6"/>
        <v>5.05714285714286</v>
      </c>
      <c r="U30" s="104">
        <v>5</v>
      </c>
    </row>
    <row r="31" s="1" customFormat="1" ht="13.2" spans="1:21">
      <c r="A31" s="10"/>
      <c r="B31" s="78" t="s">
        <v>119</v>
      </c>
      <c r="C31" s="79"/>
      <c r="D31" s="80">
        <v>12</v>
      </c>
      <c r="E31" s="80">
        <v>0</v>
      </c>
      <c r="F31" s="81">
        <v>43734</v>
      </c>
      <c r="G31" s="80">
        <v>11</v>
      </c>
      <c r="H31" s="82">
        <f t="shared" si="4"/>
        <v>23</v>
      </c>
      <c r="I31" s="94">
        <f t="shared" si="5"/>
        <v>450</v>
      </c>
      <c r="J31" s="82">
        <v>4</v>
      </c>
      <c r="K31" s="82">
        <v>0</v>
      </c>
      <c r="L31" s="82">
        <v>0</v>
      </c>
      <c r="M31" s="95">
        <v>20</v>
      </c>
      <c r="N31" s="92">
        <v>60</v>
      </c>
      <c r="O31" s="96">
        <f t="shared" si="7"/>
        <v>0.0266666666666667</v>
      </c>
      <c r="P31" s="94">
        <f t="shared" si="1"/>
        <v>430</v>
      </c>
      <c r="Q31" s="94" t="str">
        <f t="shared" si="8"/>
        <v>否</v>
      </c>
      <c r="R31" s="94">
        <f t="shared" si="3"/>
        <v>-9.86666666666667</v>
      </c>
      <c r="S31" s="94">
        <v>30</v>
      </c>
      <c r="T31" s="94">
        <f t="shared" si="6"/>
        <v>-20.0666666666667</v>
      </c>
      <c r="U31" s="104"/>
    </row>
    <row r="32" s="1" customFormat="1" ht="13.2" spans="1:21">
      <c r="A32" s="10"/>
      <c r="B32" s="78" t="s">
        <v>120</v>
      </c>
      <c r="C32" s="79"/>
      <c r="D32" s="80">
        <v>6</v>
      </c>
      <c r="E32" s="80">
        <v>0</v>
      </c>
      <c r="F32" s="81">
        <v>43734</v>
      </c>
      <c r="G32" s="80">
        <v>8</v>
      </c>
      <c r="H32" s="82">
        <f t="shared" si="4"/>
        <v>14</v>
      </c>
      <c r="I32" s="94">
        <f t="shared" si="5"/>
        <v>29.5774647887324</v>
      </c>
      <c r="J32" s="82">
        <v>3</v>
      </c>
      <c r="K32" s="82">
        <v>2</v>
      </c>
      <c r="L32" s="82">
        <v>2</v>
      </c>
      <c r="M32" s="95">
        <v>20</v>
      </c>
      <c r="N32" s="92">
        <v>60</v>
      </c>
      <c r="O32" s="96">
        <f t="shared" si="7"/>
        <v>0.202857142857143</v>
      </c>
      <c r="P32" s="94">
        <f t="shared" si="1"/>
        <v>9.5774647887324</v>
      </c>
      <c r="Q32" s="94" t="str">
        <f t="shared" si="8"/>
        <v>否</v>
      </c>
      <c r="R32" s="94">
        <f t="shared" si="3"/>
        <v>10.2285714285714</v>
      </c>
      <c r="S32" s="94">
        <v>30</v>
      </c>
      <c r="T32" s="94">
        <f t="shared" si="6"/>
        <v>8.31428571428571</v>
      </c>
      <c r="U32" s="104">
        <v>10</v>
      </c>
    </row>
    <row r="33" s="1" customFormat="1" ht="13.2" spans="1:21">
      <c r="A33" s="10"/>
      <c r="B33" s="78" t="s">
        <v>121</v>
      </c>
      <c r="C33" s="79"/>
      <c r="D33" s="80">
        <v>9</v>
      </c>
      <c r="E33" s="80">
        <v>0</v>
      </c>
      <c r="F33" s="81">
        <v>43734</v>
      </c>
      <c r="G33" s="80">
        <v>7</v>
      </c>
      <c r="H33" s="82">
        <f t="shared" si="4"/>
        <v>16</v>
      </c>
      <c r="I33" s="94">
        <f t="shared" si="5"/>
        <v>91.747572815534</v>
      </c>
      <c r="J33" s="82">
        <v>1</v>
      </c>
      <c r="K33" s="82">
        <v>1</v>
      </c>
      <c r="L33" s="82">
        <v>1</v>
      </c>
      <c r="M33" s="95">
        <v>20</v>
      </c>
      <c r="N33" s="92">
        <v>60</v>
      </c>
      <c r="O33" s="96">
        <f t="shared" si="7"/>
        <v>0.0980952380952381</v>
      </c>
      <c r="P33" s="94">
        <f t="shared" si="1"/>
        <v>71.747572815534</v>
      </c>
      <c r="Q33" s="94" t="str">
        <f t="shared" si="8"/>
        <v>否</v>
      </c>
      <c r="R33" s="94">
        <f t="shared" si="3"/>
        <v>-1.15238095238095</v>
      </c>
      <c r="S33" s="94">
        <v>30</v>
      </c>
      <c r="T33" s="94">
        <f t="shared" si="6"/>
        <v>-5.20952380952381</v>
      </c>
      <c r="U33" s="104"/>
    </row>
    <row r="34" s="1" customFormat="1" ht="13.2" spans="1:21">
      <c r="A34" s="10"/>
      <c r="B34" s="78" t="s">
        <v>122</v>
      </c>
      <c r="C34" s="79"/>
      <c r="D34" s="80">
        <v>11</v>
      </c>
      <c r="E34" s="80">
        <v>0</v>
      </c>
      <c r="F34" s="81">
        <v>43734</v>
      </c>
      <c r="G34" s="80">
        <v>7</v>
      </c>
      <c r="H34" s="82">
        <f t="shared" si="4"/>
        <v>18</v>
      </c>
      <c r="I34" s="94" t="e">
        <f t="shared" si="5"/>
        <v>#DIV/0!</v>
      </c>
      <c r="J34" s="82">
        <v>0</v>
      </c>
      <c r="K34" s="82">
        <v>0</v>
      </c>
      <c r="L34" s="82">
        <v>0</v>
      </c>
      <c r="M34" s="95">
        <v>20</v>
      </c>
      <c r="N34" s="92">
        <v>60</v>
      </c>
      <c r="O34" s="96">
        <f t="shared" si="7"/>
        <v>0</v>
      </c>
      <c r="P34" s="94" t="e">
        <f t="shared" si="1"/>
        <v>#DIV/0!</v>
      </c>
      <c r="Q34" s="94" t="e">
        <f t="shared" si="8"/>
        <v>#DIV/0!</v>
      </c>
      <c r="R34" s="94">
        <f t="shared" si="3"/>
        <v>-11</v>
      </c>
      <c r="S34" s="94">
        <v>30</v>
      </c>
      <c r="T34" s="94">
        <f t="shared" si="6"/>
        <v>-18</v>
      </c>
      <c r="U34" s="104"/>
    </row>
    <row r="35" s="1" customFormat="1" ht="13.95" spans="1:21">
      <c r="A35" s="23"/>
      <c r="B35" s="83" t="s">
        <v>123</v>
      </c>
      <c r="C35" s="84"/>
      <c r="D35" s="85">
        <v>11</v>
      </c>
      <c r="E35" s="85">
        <v>0</v>
      </c>
      <c r="F35" s="86">
        <v>43734</v>
      </c>
      <c r="G35" s="85">
        <v>7</v>
      </c>
      <c r="H35" s="87">
        <f t="shared" si="4"/>
        <v>18</v>
      </c>
      <c r="I35" s="94" t="e">
        <f t="shared" si="5"/>
        <v>#DIV/0!</v>
      </c>
      <c r="J35" s="87">
        <v>0</v>
      </c>
      <c r="K35" s="87">
        <v>0</v>
      </c>
      <c r="L35" s="87">
        <v>0</v>
      </c>
      <c r="M35" s="97">
        <v>20</v>
      </c>
      <c r="N35" s="98">
        <v>60</v>
      </c>
      <c r="O35" s="99">
        <f t="shared" si="7"/>
        <v>0</v>
      </c>
      <c r="P35" s="100" t="e">
        <f t="shared" si="1"/>
        <v>#DIV/0!</v>
      </c>
      <c r="Q35" s="100" t="e">
        <f t="shared" si="8"/>
        <v>#DIV/0!</v>
      </c>
      <c r="R35" s="100">
        <f t="shared" si="3"/>
        <v>-11</v>
      </c>
      <c r="S35" s="100">
        <v>30</v>
      </c>
      <c r="T35" s="100">
        <f t="shared" si="6"/>
        <v>-18</v>
      </c>
      <c r="U35" s="105"/>
    </row>
    <row r="36" s="1" customFormat="1" ht="13.2" spans="1:21">
      <c r="A36" s="29"/>
      <c r="B36" s="73" t="s">
        <v>124</v>
      </c>
      <c r="C36" s="74"/>
      <c r="D36" s="75">
        <v>10</v>
      </c>
      <c r="E36" s="75">
        <v>0</v>
      </c>
      <c r="F36" s="76">
        <v>43734</v>
      </c>
      <c r="G36" s="75">
        <v>30</v>
      </c>
      <c r="H36" s="77">
        <f t="shared" si="4"/>
        <v>40</v>
      </c>
      <c r="I36" s="90">
        <f t="shared" si="5"/>
        <v>84.6774193548387</v>
      </c>
      <c r="J36" s="77">
        <v>4</v>
      </c>
      <c r="K36" s="77">
        <v>1</v>
      </c>
      <c r="L36" s="77">
        <v>1</v>
      </c>
      <c r="M36" s="91">
        <v>20</v>
      </c>
      <c r="N36" s="101">
        <v>60</v>
      </c>
      <c r="O36" s="93">
        <f t="shared" si="7"/>
        <v>0.118095238095238</v>
      </c>
      <c r="P36" s="90">
        <f t="shared" si="1"/>
        <v>64.6774193548387</v>
      </c>
      <c r="Q36" s="90" t="str">
        <f t="shared" si="8"/>
        <v>否</v>
      </c>
      <c r="R36" s="90">
        <f t="shared" si="3"/>
        <v>-0.552380952380954</v>
      </c>
      <c r="S36" s="90">
        <v>30</v>
      </c>
      <c r="T36" s="90">
        <f t="shared" si="6"/>
        <v>-27.0095238095238</v>
      </c>
      <c r="U36" s="103"/>
    </row>
    <row r="37" s="1" customFormat="1" ht="13.2" spans="1:21">
      <c r="A37" s="10"/>
      <c r="B37" s="78" t="s">
        <v>125</v>
      </c>
      <c r="C37" s="79"/>
      <c r="D37" s="80">
        <v>9</v>
      </c>
      <c r="E37" s="80">
        <v>0</v>
      </c>
      <c r="F37" s="81">
        <v>43734</v>
      </c>
      <c r="G37" s="80">
        <v>12</v>
      </c>
      <c r="H37" s="82">
        <f t="shared" si="4"/>
        <v>21</v>
      </c>
      <c r="I37" s="94">
        <f t="shared" si="5"/>
        <v>192.857142857143</v>
      </c>
      <c r="J37" s="82">
        <v>4</v>
      </c>
      <c r="K37" s="82">
        <v>1</v>
      </c>
      <c r="L37" s="82">
        <v>0</v>
      </c>
      <c r="M37" s="95">
        <v>20</v>
      </c>
      <c r="N37" s="92">
        <v>60</v>
      </c>
      <c r="O37" s="96">
        <f t="shared" si="7"/>
        <v>0.0466666666666667</v>
      </c>
      <c r="P37" s="94">
        <f t="shared" si="1"/>
        <v>172.857142857143</v>
      </c>
      <c r="Q37" s="94" t="str">
        <f t="shared" si="8"/>
        <v>否</v>
      </c>
      <c r="R37" s="94">
        <f t="shared" si="3"/>
        <v>-5.26666666666667</v>
      </c>
      <c r="S37" s="94">
        <v>30</v>
      </c>
      <c r="T37" s="94">
        <f t="shared" si="6"/>
        <v>-15.8666666666667</v>
      </c>
      <c r="U37" s="104"/>
    </row>
    <row r="38" s="1" customFormat="1" ht="13.2" spans="1:21">
      <c r="A38" s="10"/>
      <c r="B38" s="78" t="s">
        <v>126</v>
      </c>
      <c r="C38" s="79"/>
      <c r="D38" s="80">
        <v>5</v>
      </c>
      <c r="E38" s="80">
        <v>10</v>
      </c>
      <c r="F38" s="81">
        <v>43734</v>
      </c>
      <c r="G38" s="80">
        <v>2</v>
      </c>
      <c r="H38" s="82">
        <f t="shared" si="4"/>
        <v>17</v>
      </c>
      <c r="I38" s="94">
        <f t="shared" si="5"/>
        <v>204.545454545455</v>
      </c>
      <c r="J38" s="82">
        <v>8</v>
      </c>
      <c r="K38" s="82">
        <v>1</v>
      </c>
      <c r="L38" s="82">
        <v>0</v>
      </c>
      <c r="M38" s="95">
        <v>20</v>
      </c>
      <c r="N38" s="92">
        <v>60</v>
      </c>
      <c r="O38" s="96">
        <f t="shared" si="7"/>
        <v>0.0733333333333333</v>
      </c>
      <c r="P38" s="94">
        <f t="shared" si="1"/>
        <v>184.545454545455</v>
      </c>
      <c r="Q38" s="94" t="str">
        <f t="shared" si="8"/>
        <v>否</v>
      </c>
      <c r="R38" s="94">
        <f t="shared" si="3"/>
        <v>0.866666666666667</v>
      </c>
      <c r="S38" s="94">
        <v>30</v>
      </c>
      <c r="T38" s="94">
        <f t="shared" si="6"/>
        <v>-8.93333333333333</v>
      </c>
      <c r="U38" s="104"/>
    </row>
    <row r="39" s="1" customFormat="1" ht="13.2" spans="1:21">
      <c r="A39" s="10"/>
      <c r="B39" s="78" t="s">
        <v>127</v>
      </c>
      <c r="C39" s="79"/>
      <c r="D39" s="80">
        <v>15</v>
      </c>
      <c r="E39" s="80">
        <v>0</v>
      </c>
      <c r="F39" s="81">
        <v>43734</v>
      </c>
      <c r="G39" s="80">
        <v>4</v>
      </c>
      <c r="H39" s="82">
        <f t="shared" si="4"/>
        <v>19</v>
      </c>
      <c r="I39" s="94">
        <f t="shared" si="5"/>
        <v>1125</v>
      </c>
      <c r="J39" s="82">
        <v>2</v>
      </c>
      <c r="K39" s="82">
        <v>0</v>
      </c>
      <c r="L39" s="82">
        <v>0</v>
      </c>
      <c r="M39" s="95">
        <v>20</v>
      </c>
      <c r="N39" s="92">
        <v>60</v>
      </c>
      <c r="O39" s="96">
        <f t="shared" si="7"/>
        <v>0.0133333333333333</v>
      </c>
      <c r="P39" s="94">
        <f t="shared" si="1"/>
        <v>1105</v>
      </c>
      <c r="Q39" s="94" t="str">
        <f t="shared" si="8"/>
        <v>否</v>
      </c>
      <c r="R39" s="94">
        <f t="shared" si="3"/>
        <v>-13.9333333333333</v>
      </c>
      <c r="S39" s="94">
        <v>30</v>
      </c>
      <c r="T39" s="94">
        <f t="shared" si="6"/>
        <v>-17.5333333333333</v>
      </c>
      <c r="U39" s="104"/>
    </row>
    <row r="40" s="1" customFormat="1" ht="13.2" spans="1:21">
      <c r="A40" s="10"/>
      <c r="B40" s="78" t="s">
        <v>128</v>
      </c>
      <c r="C40" s="79"/>
      <c r="D40" s="80">
        <v>18</v>
      </c>
      <c r="E40" s="80">
        <v>0</v>
      </c>
      <c r="F40" s="81">
        <v>43734</v>
      </c>
      <c r="G40" s="80">
        <v>16</v>
      </c>
      <c r="H40" s="82">
        <f t="shared" si="4"/>
        <v>34</v>
      </c>
      <c r="I40" s="94">
        <f t="shared" si="5"/>
        <v>183.495145631068</v>
      </c>
      <c r="J40" s="82">
        <v>1</v>
      </c>
      <c r="K40" s="82">
        <v>1</v>
      </c>
      <c r="L40" s="82">
        <v>1</v>
      </c>
      <c r="M40" s="95">
        <v>20</v>
      </c>
      <c r="N40" s="92">
        <v>60</v>
      </c>
      <c r="O40" s="96">
        <f t="shared" si="7"/>
        <v>0.0980952380952381</v>
      </c>
      <c r="P40" s="94">
        <f t="shared" si="1"/>
        <v>163.495145631068</v>
      </c>
      <c r="Q40" s="94" t="str">
        <f t="shared" si="8"/>
        <v>否</v>
      </c>
      <c r="R40" s="94">
        <f t="shared" si="3"/>
        <v>-10.152380952381</v>
      </c>
      <c r="S40" s="94">
        <v>30</v>
      </c>
      <c r="T40" s="94">
        <f t="shared" si="6"/>
        <v>-23.2095238095238</v>
      </c>
      <c r="U40" s="104"/>
    </row>
    <row r="41" s="1" customFormat="1" ht="13.2" spans="1:21">
      <c r="A41" s="10"/>
      <c r="B41" s="78" t="s">
        <v>129</v>
      </c>
      <c r="C41" s="79"/>
      <c r="D41" s="80">
        <v>12</v>
      </c>
      <c r="E41" s="80">
        <v>0</v>
      </c>
      <c r="F41" s="81">
        <v>43734</v>
      </c>
      <c r="G41" s="80">
        <v>12</v>
      </c>
      <c r="H41" s="82">
        <f t="shared" si="4"/>
        <v>24</v>
      </c>
      <c r="I41" s="94">
        <f t="shared" si="5"/>
        <v>122.330097087379</v>
      </c>
      <c r="J41" s="82">
        <v>1</v>
      </c>
      <c r="K41" s="82">
        <v>1</v>
      </c>
      <c r="L41" s="82">
        <v>1</v>
      </c>
      <c r="M41" s="95">
        <v>20</v>
      </c>
      <c r="N41" s="92">
        <v>60</v>
      </c>
      <c r="O41" s="96">
        <f t="shared" si="7"/>
        <v>0.0980952380952381</v>
      </c>
      <c r="P41" s="94">
        <f t="shared" si="1"/>
        <v>102.330097087379</v>
      </c>
      <c r="Q41" s="94" t="str">
        <f t="shared" si="8"/>
        <v>否</v>
      </c>
      <c r="R41" s="94">
        <f t="shared" si="3"/>
        <v>-4.15238095238095</v>
      </c>
      <c r="S41" s="94">
        <v>30</v>
      </c>
      <c r="T41" s="94">
        <f t="shared" si="6"/>
        <v>-13.2095238095238</v>
      </c>
      <c r="U41" s="104"/>
    </row>
    <row r="42" s="1" customFormat="1" ht="13.2" spans="1:21">
      <c r="A42" s="10"/>
      <c r="B42" s="78" t="s">
        <v>130</v>
      </c>
      <c r="C42" s="79"/>
      <c r="D42" s="80">
        <v>7</v>
      </c>
      <c r="E42" s="80">
        <v>0</v>
      </c>
      <c r="F42" s="81">
        <v>43734</v>
      </c>
      <c r="G42" s="80">
        <v>2</v>
      </c>
      <c r="H42" s="82">
        <f t="shared" si="4"/>
        <v>9</v>
      </c>
      <c r="I42" s="94" t="e">
        <f t="shared" si="5"/>
        <v>#DIV/0!</v>
      </c>
      <c r="J42" s="82">
        <v>0</v>
      </c>
      <c r="K42" s="82">
        <v>0</v>
      </c>
      <c r="L42" s="82">
        <v>0</v>
      </c>
      <c r="M42" s="95">
        <v>20</v>
      </c>
      <c r="N42" s="92">
        <v>60</v>
      </c>
      <c r="O42" s="96">
        <f t="shared" si="7"/>
        <v>0</v>
      </c>
      <c r="P42" s="94" t="e">
        <f t="shared" si="1"/>
        <v>#DIV/0!</v>
      </c>
      <c r="Q42" s="94" t="e">
        <f t="shared" si="8"/>
        <v>#DIV/0!</v>
      </c>
      <c r="R42" s="94">
        <f t="shared" si="3"/>
        <v>-7</v>
      </c>
      <c r="S42" s="94">
        <v>30</v>
      </c>
      <c r="T42" s="94">
        <f t="shared" si="6"/>
        <v>-9</v>
      </c>
      <c r="U42" s="104"/>
    </row>
    <row r="43" s="1" customFormat="1" ht="13.95" spans="1:21">
      <c r="A43" s="23"/>
      <c r="B43" s="83" t="s">
        <v>131</v>
      </c>
      <c r="C43" s="84"/>
      <c r="D43" s="85">
        <v>6</v>
      </c>
      <c r="E43" s="85">
        <v>0</v>
      </c>
      <c r="F43" s="86">
        <v>43734</v>
      </c>
      <c r="G43" s="85">
        <v>5</v>
      </c>
      <c r="H43" s="87">
        <f t="shared" si="4"/>
        <v>11</v>
      </c>
      <c r="I43" s="94">
        <f t="shared" si="5"/>
        <v>45</v>
      </c>
      <c r="J43" s="87">
        <v>5</v>
      </c>
      <c r="K43" s="87">
        <v>5</v>
      </c>
      <c r="L43" s="87">
        <v>0</v>
      </c>
      <c r="M43" s="97">
        <v>20</v>
      </c>
      <c r="N43" s="98">
        <v>60</v>
      </c>
      <c r="O43" s="99">
        <f t="shared" si="7"/>
        <v>0.133333333333333</v>
      </c>
      <c r="P43" s="100">
        <f t="shared" si="1"/>
        <v>25</v>
      </c>
      <c r="Q43" s="100" t="str">
        <f t="shared" si="8"/>
        <v>否</v>
      </c>
      <c r="R43" s="100">
        <f t="shared" si="3"/>
        <v>4.66666666666667</v>
      </c>
      <c r="S43" s="100">
        <v>30</v>
      </c>
      <c r="T43" s="100">
        <f t="shared" si="6"/>
        <v>3.66666666666667</v>
      </c>
      <c r="U43" s="105">
        <v>10</v>
      </c>
    </row>
    <row r="44" s="1" customFormat="1" ht="13.2" spans="2:21">
      <c r="B44" s="39"/>
      <c r="C44" s="39"/>
      <c r="D44" s="40"/>
      <c r="E44" s="40"/>
      <c r="F44" s="40"/>
      <c r="I44" s="41"/>
      <c r="J44" s="40"/>
      <c r="K44" s="40"/>
      <c r="L44" s="40"/>
      <c r="M44" s="40"/>
      <c r="N44" s="40"/>
      <c r="O44" s="41"/>
      <c r="P44" s="41"/>
      <c r="Q44" s="41"/>
      <c r="R44" s="41"/>
      <c r="S44" s="41"/>
      <c r="T44" s="41"/>
      <c r="U44" s="106">
        <f>SUM(U3:U43)</f>
        <v>495</v>
      </c>
    </row>
  </sheetData>
  <conditionalFormatting sqref="E4">
    <cfRule type="duplicateValues" dxfId="0" priority="21"/>
  </conditionalFormatting>
  <conditionalFormatting sqref="E12">
    <cfRule type="duplicateValues" dxfId="0" priority="19"/>
  </conditionalFormatting>
  <conditionalFormatting sqref="E20">
    <cfRule type="duplicateValues" dxfId="0" priority="17"/>
  </conditionalFormatting>
  <conditionalFormatting sqref="E28">
    <cfRule type="duplicateValues" dxfId="0" priority="15"/>
  </conditionalFormatting>
  <conditionalFormatting sqref="E36">
    <cfRule type="duplicateValues" dxfId="0" priority="13"/>
  </conditionalFormatting>
  <conditionalFormatting sqref="D4:D11">
    <cfRule type="duplicateValues" dxfId="0" priority="5"/>
  </conditionalFormatting>
  <conditionalFormatting sqref="D12:D19">
    <cfRule type="duplicateValues" dxfId="0" priority="4"/>
  </conditionalFormatting>
  <conditionalFormatting sqref="D20:D27">
    <cfRule type="duplicateValues" dxfId="0" priority="3"/>
  </conditionalFormatting>
  <conditionalFormatting sqref="D28:D35">
    <cfRule type="duplicateValues" dxfId="0" priority="2"/>
  </conditionalFormatting>
  <conditionalFormatting sqref="D36:D43">
    <cfRule type="duplicateValues" dxfId="0" priority="1"/>
  </conditionalFormatting>
  <conditionalFormatting sqref="E5:E11">
    <cfRule type="duplicateValues" dxfId="0" priority="22"/>
  </conditionalFormatting>
  <conditionalFormatting sqref="E13:E19">
    <cfRule type="duplicateValues" dxfId="0" priority="20"/>
  </conditionalFormatting>
  <conditionalFormatting sqref="E21:E27">
    <cfRule type="duplicateValues" dxfId="0" priority="18"/>
  </conditionalFormatting>
  <conditionalFormatting sqref="E29:E35">
    <cfRule type="duplicateValues" dxfId="0" priority="16"/>
  </conditionalFormatting>
  <conditionalFormatting sqref="E37:E43">
    <cfRule type="duplicateValues" dxfId="0" priority="14"/>
  </conditionalFormatting>
  <conditionalFormatting sqref="F4:F11">
    <cfRule type="duplicateValues" dxfId="0" priority="12"/>
  </conditionalFormatting>
  <conditionalFormatting sqref="F12:F43">
    <cfRule type="duplicateValues" dxfId="0" priority="11"/>
  </conditionalFormatting>
  <conditionalFormatting sqref="G4:G11">
    <cfRule type="duplicateValues" dxfId="0" priority="10"/>
  </conditionalFormatting>
  <conditionalFormatting sqref="G12:G19">
    <cfRule type="duplicateValues" dxfId="0" priority="9"/>
  </conditionalFormatting>
  <conditionalFormatting sqref="G20:G27">
    <cfRule type="duplicateValues" dxfId="0" priority="8"/>
  </conditionalFormatting>
  <conditionalFormatting sqref="G28:G35">
    <cfRule type="duplicateValues" dxfId="0" priority="7"/>
  </conditionalFormatting>
  <conditionalFormatting sqref="G36:G43">
    <cfRule type="duplicateValues" dxfId="0" priority="6"/>
  </conditionalFormatting>
  <conditionalFormatting sqref="B4:C35">
    <cfRule type="duplicateValues" dxfId="0" priority="24"/>
  </conditionalFormatting>
  <conditionalFormatting sqref="B36:C44">
    <cfRule type="duplicateValues" dxfId="0" priority="23"/>
  </conditionalFormatting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3"/>
  <sheetViews>
    <sheetView topLeftCell="A10" workbookViewId="0">
      <selection activeCell="Y15" sqref="Y15"/>
    </sheetView>
  </sheetViews>
  <sheetFormatPr defaultColWidth="9" defaultRowHeight="13.8"/>
  <cols>
    <col min="2" max="2" width="13.6666666666667" customWidth="1"/>
    <col min="3" max="3" width="6.44444444444444" customWidth="1"/>
    <col min="4" max="4" width="7.11111111111111" customWidth="1"/>
    <col min="5" max="5" width="9.22222222222222" customWidth="1"/>
    <col min="6" max="7" width="6.66666666666667" customWidth="1"/>
    <col min="8" max="8" width="5.88888888888889" customWidth="1"/>
    <col min="9" max="9" width="6.88888888888889" style="2" customWidth="1"/>
    <col min="10" max="11" width="6.88888888888889" customWidth="1"/>
    <col min="12" max="12" width="6.66666666666667" customWidth="1"/>
    <col min="13" max="13" width="8.66666666666667" customWidth="1"/>
    <col min="14" max="14" width="5.88888888888889" customWidth="1"/>
    <col min="15" max="15" width="6.11111111111111" style="3" customWidth="1"/>
    <col min="16" max="17" width="6.88888888888889" customWidth="1"/>
    <col min="18" max="18" width="5.33333333333333" style="4" customWidth="1"/>
    <col min="19" max="19" width="6.11111111111111" style="4" hidden="1" customWidth="1"/>
    <col min="20" max="20" width="6.66666666666667" style="5" customWidth="1"/>
    <col min="21" max="21" width="7.22222222222222" style="5" customWidth="1"/>
  </cols>
  <sheetData>
    <row r="1" ht="20.25" customHeight="1" spans="1:21">
      <c r="A1" s="6"/>
      <c r="B1" s="6"/>
      <c r="C1" s="6"/>
      <c r="D1" s="6"/>
      <c r="E1" s="6"/>
      <c r="F1" s="6"/>
      <c r="G1" s="6"/>
      <c r="H1" s="6"/>
      <c r="I1" s="42"/>
      <c r="J1" s="6"/>
      <c r="K1" s="6"/>
      <c r="L1" s="43" t="s">
        <v>132</v>
      </c>
      <c r="M1" s="43"/>
      <c r="N1" s="43" t="s">
        <v>1</v>
      </c>
      <c r="O1" s="44" t="s">
        <v>83</v>
      </c>
      <c r="P1" s="6"/>
      <c r="Q1" s="6"/>
      <c r="R1" s="59"/>
      <c r="S1" s="59"/>
      <c r="T1" s="60"/>
      <c r="U1" s="60"/>
    </row>
    <row r="2" ht="32.25" customHeight="1" spans="1:21">
      <c r="A2" s="7" t="s">
        <v>4</v>
      </c>
      <c r="B2" s="8" t="s">
        <v>5</v>
      </c>
      <c r="C2" s="8" t="s">
        <v>7</v>
      </c>
      <c r="D2" s="8" t="s">
        <v>8</v>
      </c>
      <c r="E2" s="8" t="s">
        <v>85</v>
      </c>
      <c r="F2" s="9" t="s">
        <v>6</v>
      </c>
      <c r="G2" s="9" t="s">
        <v>9</v>
      </c>
      <c r="H2" s="9" t="s">
        <v>10</v>
      </c>
      <c r="I2" s="9" t="s">
        <v>13</v>
      </c>
      <c r="J2" s="8" t="s">
        <v>86</v>
      </c>
      <c r="K2" s="8" t="s">
        <v>87</v>
      </c>
      <c r="L2" s="8" t="s">
        <v>23</v>
      </c>
      <c r="M2" s="8" t="s">
        <v>24</v>
      </c>
      <c r="N2" s="8" t="s">
        <v>14</v>
      </c>
      <c r="O2" s="45" t="s">
        <v>15</v>
      </c>
      <c r="P2" s="9" t="s">
        <v>25</v>
      </c>
      <c r="Q2" s="9" t="s">
        <v>89</v>
      </c>
      <c r="R2" s="9" t="s">
        <v>91</v>
      </c>
      <c r="S2" s="9" t="s">
        <v>133</v>
      </c>
      <c r="T2" s="61" t="s">
        <v>27</v>
      </c>
      <c r="U2" s="62" t="s">
        <v>28</v>
      </c>
    </row>
    <row r="3" s="1" customFormat="1" ht="13.5" customHeight="1" spans="1:21">
      <c r="A3" s="10"/>
      <c r="B3" s="11" t="s">
        <v>92</v>
      </c>
      <c r="C3" s="12">
        <v>9</v>
      </c>
      <c r="D3" s="12">
        <v>11</v>
      </c>
      <c r="E3" s="13">
        <v>43734</v>
      </c>
      <c r="F3" s="14">
        <v>0</v>
      </c>
      <c r="G3" s="15">
        <f>C3+D3+F3</f>
        <v>20</v>
      </c>
      <c r="H3" s="16">
        <f>(C3+D3)/N3</f>
        <v>49.0654205607477</v>
      </c>
      <c r="I3" s="15">
        <v>8</v>
      </c>
      <c r="J3" s="15">
        <v>7</v>
      </c>
      <c r="K3" s="15">
        <v>3</v>
      </c>
      <c r="L3" s="46">
        <v>20</v>
      </c>
      <c r="M3" s="46">
        <v>60</v>
      </c>
      <c r="N3" s="47">
        <f t="shared" ref="N3:N10" si="0">((I3/30)*0.2)+((J3/15)*0.3)+((K3/7)*0.5)</f>
        <v>0.407619047619048</v>
      </c>
      <c r="O3" s="48">
        <f t="shared" ref="O3:O42" si="1">H3-L3-P3</f>
        <v>-0.934579439252332</v>
      </c>
      <c r="P3" s="16">
        <v>30</v>
      </c>
      <c r="Q3" s="16">
        <f t="shared" ref="Q3:Q42" si="2">N3*(L3+M3+P3)-G3</f>
        <v>24.8380952380952</v>
      </c>
      <c r="R3" s="15">
        <v>25</v>
      </c>
      <c r="S3" s="14">
        <f>G3+R3</f>
        <v>45</v>
      </c>
      <c r="T3" s="63">
        <f>I3/185</f>
        <v>0.0432432432432432</v>
      </c>
      <c r="U3" s="63">
        <f>S3/1092</f>
        <v>0.0412087912087912</v>
      </c>
    </row>
    <row r="4" s="1" customFormat="1" ht="13.5" customHeight="1" spans="1:21">
      <c r="A4" s="10"/>
      <c r="B4" s="17" t="s">
        <v>93</v>
      </c>
      <c r="C4" s="18">
        <v>3</v>
      </c>
      <c r="D4" s="18">
        <v>24</v>
      </c>
      <c r="E4" s="19">
        <v>43734</v>
      </c>
      <c r="F4" s="20">
        <v>0</v>
      </c>
      <c r="G4" s="21">
        <f t="shared" ref="G4:G42" si="3">C4+D4+F4</f>
        <v>27</v>
      </c>
      <c r="H4" s="22">
        <f t="shared" ref="H4:H42" si="4">(C4+D4)/N4</f>
        <v>68.4782608695652</v>
      </c>
      <c r="I4" s="21">
        <v>9</v>
      </c>
      <c r="J4" s="21">
        <v>6</v>
      </c>
      <c r="K4" s="21">
        <v>3</v>
      </c>
      <c r="L4" s="49">
        <v>20</v>
      </c>
      <c r="M4" s="49">
        <v>60</v>
      </c>
      <c r="N4" s="50">
        <f t="shared" si="0"/>
        <v>0.394285714285714</v>
      </c>
      <c r="O4" s="51">
        <f t="shared" si="1"/>
        <v>18.4782608695652</v>
      </c>
      <c r="P4" s="22">
        <v>30</v>
      </c>
      <c r="Q4" s="22">
        <f t="shared" si="2"/>
        <v>16.3714285714286</v>
      </c>
      <c r="R4" s="21">
        <v>20</v>
      </c>
      <c r="S4" s="20">
        <f t="shared" ref="S4:S42" si="5">G4+R4</f>
        <v>47</v>
      </c>
      <c r="T4" s="64">
        <f t="shared" ref="T4:T10" si="6">I4/185</f>
        <v>0.0486486486486487</v>
      </c>
      <c r="U4" s="64">
        <f t="shared" ref="U4:U10" si="7">S4/1092</f>
        <v>0.043040293040293</v>
      </c>
    </row>
    <row r="5" s="1" customFormat="1" ht="13.5" customHeight="1" spans="1:21">
      <c r="A5" s="10"/>
      <c r="B5" s="17" t="s">
        <v>94</v>
      </c>
      <c r="C5" s="18">
        <v>24</v>
      </c>
      <c r="D5" s="18">
        <v>10</v>
      </c>
      <c r="E5" s="19">
        <v>43734</v>
      </c>
      <c r="F5" s="20">
        <v>0</v>
      </c>
      <c r="G5" s="21">
        <f t="shared" si="3"/>
        <v>34</v>
      </c>
      <c r="H5" s="22">
        <f t="shared" si="4"/>
        <v>324.545454545455</v>
      </c>
      <c r="I5" s="21">
        <v>2</v>
      </c>
      <c r="J5" s="21">
        <v>1</v>
      </c>
      <c r="K5" s="21">
        <v>1</v>
      </c>
      <c r="L5" s="49">
        <v>20</v>
      </c>
      <c r="M5" s="49">
        <v>60</v>
      </c>
      <c r="N5" s="50">
        <f t="shared" si="0"/>
        <v>0.104761904761905</v>
      </c>
      <c r="O5" s="51">
        <f t="shared" si="1"/>
        <v>274.545454545455</v>
      </c>
      <c r="P5" s="22">
        <v>30</v>
      </c>
      <c r="Q5" s="22">
        <f t="shared" si="2"/>
        <v>-22.4761904761905</v>
      </c>
      <c r="R5" s="21"/>
      <c r="S5" s="20">
        <f t="shared" si="5"/>
        <v>34</v>
      </c>
      <c r="T5" s="64">
        <f t="shared" si="6"/>
        <v>0.0108108108108108</v>
      </c>
      <c r="U5" s="64">
        <f t="shared" si="7"/>
        <v>0.0311355311355311</v>
      </c>
    </row>
    <row r="6" s="1" customFormat="1" ht="13.5" customHeight="1" spans="1:21">
      <c r="A6" s="10"/>
      <c r="B6" s="17" t="s">
        <v>95</v>
      </c>
      <c r="C6" s="18">
        <v>13</v>
      </c>
      <c r="D6" s="18">
        <v>0</v>
      </c>
      <c r="E6" s="19">
        <v>43734</v>
      </c>
      <c r="F6" s="20">
        <v>0</v>
      </c>
      <c r="G6" s="21">
        <f t="shared" si="3"/>
        <v>13</v>
      </c>
      <c r="H6" s="22">
        <f t="shared" si="4"/>
        <v>15.6357388316151</v>
      </c>
      <c r="I6" s="21">
        <v>12</v>
      </c>
      <c r="J6" s="21">
        <v>9</v>
      </c>
      <c r="K6" s="21">
        <v>8</v>
      </c>
      <c r="L6" s="49">
        <v>20</v>
      </c>
      <c r="M6" s="49">
        <v>60</v>
      </c>
      <c r="N6" s="50">
        <f t="shared" si="0"/>
        <v>0.831428571428571</v>
      </c>
      <c r="O6" s="51">
        <f t="shared" si="1"/>
        <v>-34.3642611683849</v>
      </c>
      <c r="P6" s="22">
        <v>30</v>
      </c>
      <c r="Q6" s="22">
        <f t="shared" si="2"/>
        <v>78.4571428571429</v>
      </c>
      <c r="R6" s="21">
        <v>80</v>
      </c>
      <c r="S6" s="20">
        <f t="shared" si="5"/>
        <v>93</v>
      </c>
      <c r="T6" s="64">
        <f t="shared" si="6"/>
        <v>0.0648648648648649</v>
      </c>
      <c r="U6" s="64">
        <f t="shared" si="7"/>
        <v>0.0851648351648352</v>
      </c>
    </row>
    <row r="7" s="1" customFormat="1" ht="13.5" customHeight="1" spans="1:21">
      <c r="A7" s="10"/>
      <c r="B7" s="17" t="s">
        <v>96</v>
      </c>
      <c r="C7" s="18">
        <v>30</v>
      </c>
      <c r="D7" s="18">
        <v>60</v>
      </c>
      <c r="E7" s="19">
        <v>43734</v>
      </c>
      <c r="F7" s="18">
        <v>28</v>
      </c>
      <c r="G7" s="21">
        <f t="shared" si="3"/>
        <v>118</v>
      </c>
      <c r="H7" s="22">
        <f t="shared" si="4"/>
        <v>59.7722960151803</v>
      </c>
      <c r="I7" s="21">
        <v>48</v>
      </c>
      <c r="J7" s="21">
        <v>20</v>
      </c>
      <c r="K7" s="21">
        <v>11</v>
      </c>
      <c r="L7" s="49">
        <v>20</v>
      </c>
      <c r="M7" s="49">
        <v>60</v>
      </c>
      <c r="N7" s="50">
        <f t="shared" si="0"/>
        <v>1.50571428571429</v>
      </c>
      <c r="O7" s="51">
        <f t="shared" si="1"/>
        <v>9.77229601518026</v>
      </c>
      <c r="P7" s="22">
        <v>30</v>
      </c>
      <c r="Q7" s="22">
        <f t="shared" si="2"/>
        <v>47.6285714285714</v>
      </c>
      <c r="R7" s="21">
        <v>50</v>
      </c>
      <c r="S7" s="20">
        <f t="shared" si="5"/>
        <v>168</v>
      </c>
      <c r="T7" s="64">
        <f t="shared" si="6"/>
        <v>0.259459459459459</v>
      </c>
      <c r="U7" s="64">
        <f t="shared" si="7"/>
        <v>0.153846153846154</v>
      </c>
    </row>
    <row r="8" s="1" customFormat="1" ht="13.5" customHeight="1" spans="1:21">
      <c r="A8" s="10"/>
      <c r="B8" s="17" t="s">
        <v>97</v>
      </c>
      <c r="C8" s="18">
        <v>48</v>
      </c>
      <c r="D8" s="18">
        <v>25</v>
      </c>
      <c r="E8" s="19">
        <v>43734</v>
      </c>
      <c r="F8" s="18">
        <v>66</v>
      </c>
      <c r="G8" s="21">
        <f t="shared" si="3"/>
        <v>139</v>
      </c>
      <c r="H8" s="22">
        <f t="shared" si="4"/>
        <v>41.2096774193548</v>
      </c>
      <c r="I8" s="21">
        <v>36</v>
      </c>
      <c r="J8" s="21">
        <v>23</v>
      </c>
      <c r="K8" s="21">
        <v>15</v>
      </c>
      <c r="L8" s="49">
        <v>20</v>
      </c>
      <c r="M8" s="49">
        <v>60</v>
      </c>
      <c r="N8" s="50">
        <f t="shared" si="0"/>
        <v>1.77142857142857</v>
      </c>
      <c r="O8" s="51">
        <f t="shared" si="1"/>
        <v>-8.79032258064516</v>
      </c>
      <c r="P8" s="22">
        <v>30</v>
      </c>
      <c r="Q8" s="22">
        <f t="shared" si="2"/>
        <v>55.8571428571429</v>
      </c>
      <c r="R8" s="21">
        <v>60</v>
      </c>
      <c r="S8" s="20">
        <f t="shared" si="5"/>
        <v>199</v>
      </c>
      <c r="T8" s="64">
        <f t="shared" si="6"/>
        <v>0.194594594594595</v>
      </c>
      <c r="U8" s="64">
        <f t="shared" si="7"/>
        <v>0.182234432234432</v>
      </c>
    </row>
    <row r="9" s="1" customFormat="1" ht="13.5" customHeight="1" spans="1:24">
      <c r="A9" s="10"/>
      <c r="B9" s="17" t="s">
        <v>98</v>
      </c>
      <c r="C9" s="18">
        <v>29</v>
      </c>
      <c r="D9" s="18">
        <v>40</v>
      </c>
      <c r="E9" s="19">
        <v>43734</v>
      </c>
      <c r="F9" s="18">
        <v>53</v>
      </c>
      <c r="G9" s="21">
        <f t="shared" si="3"/>
        <v>122</v>
      </c>
      <c r="H9" s="22">
        <f t="shared" si="4"/>
        <v>39.2045454545455</v>
      </c>
      <c r="I9" s="21">
        <v>42</v>
      </c>
      <c r="J9" s="21">
        <v>24</v>
      </c>
      <c r="K9" s="21">
        <v>14</v>
      </c>
      <c r="L9" s="49">
        <v>20</v>
      </c>
      <c r="M9" s="49">
        <v>60</v>
      </c>
      <c r="N9" s="50">
        <f t="shared" si="0"/>
        <v>1.76</v>
      </c>
      <c r="O9" s="51">
        <f t="shared" si="1"/>
        <v>-10.7954545454545</v>
      </c>
      <c r="P9" s="22">
        <v>30</v>
      </c>
      <c r="Q9" s="22">
        <f t="shared" si="2"/>
        <v>71.6</v>
      </c>
      <c r="R9" s="21">
        <v>75</v>
      </c>
      <c r="S9" s="20">
        <f t="shared" si="5"/>
        <v>197</v>
      </c>
      <c r="T9" s="64">
        <f t="shared" si="6"/>
        <v>0.227027027027027</v>
      </c>
      <c r="U9" s="64">
        <f t="shared" si="7"/>
        <v>0.18040293040293</v>
      </c>
      <c r="X9" s="65"/>
    </row>
    <row r="10" s="1" customFormat="1" ht="13.5" customHeight="1" spans="1:21">
      <c r="A10" s="23"/>
      <c r="B10" s="24" t="s">
        <v>99</v>
      </c>
      <c r="C10" s="25">
        <v>31</v>
      </c>
      <c r="D10" s="26">
        <v>23</v>
      </c>
      <c r="E10" s="27">
        <v>43734</v>
      </c>
      <c r="F10" s="25">
        <v>0</v>
      </c>
      <c r="G10" s="28">
        <f t="shared" si="3"/>
        <v>54</v>
      </c>
      <c r="H10" s="22">
        <f t="shared" si="4"/>
        <v>68.8942891859052</v>
      </c>
      <c r="I10" s="28">
        <v>28</v>
      </c>
      <c r="J10" s="28">
        <v>12</v>
      </c>
      <c r="K10" s="28">
        <v>5</v>
      </c>
      <c r="L10" s="52">
        <v>20</v>
      </c>
      <c r="M10" s="52">
        <v>60</v>
      </c>
      <c r="N10" s="53">
        <f t="shared" si="0"/>
        <v>0.783809523809524</v>
      </c>
      <c r="O10" s="54">
        <f t="shared" si="1"/>
        <v>18.8942891859052</v>
      </c>
      <c r="P10" s="38">
        <v>30</v>
      </c>
      <c r="Q10" s="38">
        <f t="shared" si="2"/>
        <v>32.2190476190476</v>
      </c>
      <c r="R10" s="28">
        <v>35</v>
      </c>
      <c r="S10" s="26">
        <f t="shared" si="5"/>
        <v>89</v>
      </c>
      <c r="T10" s="66">
        <f t="shared" si="6"/>
        <v>0.151351351351351</v>
      </c>
      <c r="U10" s="66">
        <f t="shared" si="7"/>
        <v>0.0815018315018315</v>
      </c>
    </row>
    <row r="11" s="1" customFormat="1" ht="13.5" customHeight="1" spans="1:21">
      <c r="A11" s="29"/>
      <c r="B11" s="30" t="s">
        <v>100</v>
      </c>
      <c r="C11" s="31">
        <v>17</v>
      </c>
      <c r="D11" s="14">
        <v>0</v>
      </c>
      <c r="E11" s="32">
        <v>43734</v>
      </c>
      <c r="F11" s="33">
        <v>23</v>
      </c>
      <c r="G11" s="34">
        <f t="shared" si="3"/>
        <v>40</v>
      </c>
      <c r="H11" s="35">
        <f t="shared" si="4"/>
        <v>88.8059701492537</v>
      </c>
      <c r="I11" s="34">
        <v>9</v>
      </c>
      <c r="J11" s="34">
        <v>3</v>
      </c>
      <c r="K11" s="34">
        <v>1</v>
      </c>
      <c r="L11" s="55">
        <v>20</v>
      </c>
      <c r="M11" s="55">
        <v>60</v>
      </c>
      <c r="N11" s="56">
        <f t="shared" ref="N11:N42" si="8">((I11/30)*0.2)+((J11/15)*0.3)+((K11/7)*0.5)</f>
        <v>0.191428571428571</v>
      </c>
      <c r="O11" s="57">
        <f t="shared" si="1"/>
        <v>38.8059701492537</v>
      </c>
      <c r="P11" s="35">
        <v>30</v>
      </c>
      <c r="Q11" s="35">
        <f t="shared" si="2"/>
        <v>-18.9428571428571</v>
      </c>
      <c r="R11" s="34"/>
      <c r="S11" s="14">
        <f t="shared" si="5"/>
        <v>40</v>
      </c>
      <c r="T11" s="63">
        <f>I11/35</f>
        <v>0.257142857142857</v>
      </c>
      <c r="U11" s="63">
        <f>S11/254</f>
        <v>0.15748031496063</v>
      </c>
    </row>
    <row r="12" s="1" customFormat="1" ht="13.5" customHeight="1" spans="1:21">
      <c r="A12" s="10"/>
      <c r="B12" s="17" t="s">
        <v>101</v>
      </c>
      <c r="C12" s="36">
        <v>1</v>
      </c>
      <c r="D12" s="20">
        <v>20</v>
      </c>
      <c r="E12" s="19">
        <v>43734</v>
      </c>
      <c r="F12" s="20">
        <v>12</v>
      </c>
      <c r="G12" s="21">
        <f t="shared" si="3"/>
        <v>33</v>
      </c>
      <c r="H12" s="22">
        <f t="shared" si="4"/>
        <v>630</v>
      </c>
      <c r="I12" s="21">
        <v>5</v>
      </c>
      <c r="J12" s="21">
        <v>0</v>
      </c>
      <c r="K12" s="21">
        <v>0</v>
      </c>
      <c r="L12" s="49">
        <v>20</v>
      </c>
      <c r="M12" s="49">
        <v>60</v>
      </c>
      <c r="N12" s="50">
        <f t="shared" si="8"/>
        <v>0.0333333333333333</v>
      </c>
      <c r="O12" s="51">
        <f t="shared" si="1"/>
        <v>580</v>
      </c>
      <c r="P12" s="22">
        <v>30</v>
      </c>
      <c r="Q12" s="22">
        <f t="shared" si="2"/>
        <v>-29.3333333333333</v>
      </c>
      <c r="R12" s="21"/>
      <c r="S12" s="20">
        <f t="shared" si="5"/>
        <v>33</v>
      </c>
      <c r="T12" s="64">
        <f t="shared" ref="T12:T18" si="9">I12/35</f>
        <v>0.142857142857143</v>
      </c>
      <c r="U12" s="64">
        <f t="shared" ref="U12:U18" si="10">S12/254</f>
        <v>0.12992125984252</v>
      </c>
    </row>
    <row r="13" s="1" customFormat="1" ht="13.5" customHeight="1" spans="1:21">
      <c r="A13" s="10"/>
      <c r="B13" s="17" t="s">
        <v>102</v>
      </c>
      <c r="C13" s="36">
        <v>3</v>
      </c>
      <c r="D13" s="20">
        <v>0</v>
      </c>
      <c r="E13" s="19">
        <v>43734</v>
      </c>
      <c r="F13" s="18">
        <v>9</v>
      </c>
      <c r="G13" s="21">
        <f t="shared" si="3"/>
        <v>12</v>
      </c>
      <c r="H13" s="22">
        <f t="shared" si="4"/>
        <v>13.0705394190871</v>
      </c>
      <c r="I13" s="21">
        <v>7</v>
      </c>
      <c r="J13" s="21">
        <v>2</v>
      </c>
      <c r="K13" s="21">
        <v>2</v>
      </c>
      <c r="L13" s="49">
        <v>20</v>
      </c>
      <c r="M13" s="49">
        <v>60</v>
      </c>
      <c r="N13" s="50">
        <f t="shared" si="8"/>
        <v>0.22952380952381</v>
      </c>
      <c r="O13" s="51">
        <f t="shared" si="1"/>
        <v>-36.9294605809129</v>
      </c>
      <c r="P13" s="22">
        <v>30</v>
      </c>
      <c r="Q13" s="22">
        <f t="shared" si="2"/>
        <v>13.247619047619</v>
      </c>
      <c r="R13" s="21">
        <v>15</v>
      </c>
      <c r="S13" s="20">
        <f t="shared" si="5"/>
        <v>27</v>
      </c>
      <c r="T13" s="64">
        <f t="shared" si="9"/>
        <v>0.2</v>
      </c>
      <c r="U13" s="64">
        <f t="shared" si="10"/>
        <v>0.106299212598425</v>
      </c>
    </row>
    <row r="14" s="1" customFormat="1" ht="13.5" customHeight="1" spans="1:21">
      <c r="A14" s="10"/>
      <c r="B14" s="17" t="s">
        <v>103</v>
      </c>
      <c r="C14" s="36">
        <v>4</v>
      </c>
      <c r="D14" s="20">
        <v>0</v>
      </c>
      <c r="E14" s="19">
        <v>43734</v>
      </c>
      <c r="F14" s="18">
        <v>34</v>
      </c>
      <c r="G14" s="21">
        <f t="shared" si="3"/>
        <v>38</v>
      </c>
      <c r="H14" s="22">
        <f t="shared" si="4"/>
        <v>9.11062906724512</v>
      </c>
      <c r="I14" s="21">
        <v>8</v>
      </c>
      <c r="J14" s="21">
        <v>5</v>
      </c>
      <c r="K14" s="21">
        <v>4</v>
      </c>
      <c r="L14" s="49">
        <v>20</v>
      </c>
      <c r="M14" s="49">
        <v>60</v>
      </c>
      <c r="N14" s="50">
        <f t="shared" si="8"/>
        <v>0.439047619047619</v>
      </c>
      <c r="O14" s="51">
        <f t="shared" si="1"/>
        <v>-40.8893709327549</v>
      </c>
      <c r="P14" s="22">
        <v>30</v>
      </c>
      <c r="Q14" s="22">
        <f t="shared" si="2"/>
        <v>10.2952380952381</v>
      </c>
      <c r="R14" s="21">
        <v>10</v>
      </c>
      <c r="S14" s="20">
        <f t="shared" si="5"/>
        <v>48</v>
      </c>
      <c r="T14" s="64">
        <f t="shared" si="9"/>
        <v>0.228571428571429</v>
      </c>
      <c r="U14" s="64">
        <f t="shared" si="10"/>
        <v>0.188976377952756</v>
      </c>
    </row>
    <row r="15" s="1" customFormat="1" ht="13.5" customHeight="1" spans="1:21">
      <c r="A15" s="10"/>
      <c r="B15" s="17" t="s">
        <v>104</v>
      </c>
      <c r="C15" s="20">
        <v>6</v>
      </c>
      <c r="D15" s="20">
        <v>0</v>
      </c>
      <c r="E15" s="19">
        <v>43734</v>
      </c>
      <c r="F15" s="18">
        <v>12</v>
      </c>
      <c r="G15" s="21">
        <f t="shared" si="3"/>
        <v>18</v>
      </c>
      <c r="H15" s="22">
        <f t="shared" si="4"/>
        <v>30.5825242718447</v>
      </c>
      <c r="I15" s="21">
        <v>2</v>
      </c>
      <c r="J15" s="21">
        <v>2</v>
      </c>
      <c r="K15" s="21">
        <v>2</v>
      </c>
      <c r="L15" s="49">
        <v>20</v>
      </c>
      <c r="M15" s="49">
        <v>60</v>
      </c>
      <c r="N15" s="50">
        <f t="shared" si="8"/>
        <v>0.196190476190476</v>
      </c>
      <c r="O15" s="51">
        <f t="shared" si="1"/>
        <v>-19.4174757281553</v>
      </c>
      <c r="P15" s="22">
        <v>30</v>
      </c>
      <c r="Q15" s="22">
        <f t="shared" si="2"/>
        <v>3.58095238095238</v>
      </c>
      <c r="R15" s="21">
        <v>10</v>
      </c>
      <c r="S15" s="20">
        <f t="shared" si="5"/>
        <v>28</v>
      </c>
      <c r="T15" s="64">
        <f t="shared" si="9"/>
        <v>0.0571428571428571</v>
      </c>
      <c r="U15" s="64">
        <f t="shared" si="10"/>
        <v>0.110236220472441</v>
      </c>
    </row>
    <row r="16" s="1" customFormat="1" ht="13.5" customHeight="1" spans="1:21">
      <c r="A16" s="10"/>
      <c r="B16" s="17" t="s">
        <v>105</v>
      </c>
      <c r="C16" s="20">
        <v>6</v>
      </c>
      <c r="D16" s="20">
        <v>0</v>
      </c>
      <c r="E16" s="19">
        <v>43734</v>
      </c>
      <c r="F16" s="18">
        <v>6</v>
      </c>
      <c r="G16" s="21">
        <f t="shared" si="3"/>
        <v>12</v>
      </c>
      <c r="H16" s="22" t="e">
        <f t="shared" si="4"/>
        <v>#DIV/0!</v>
      </c>
      <c r="I16" s="21">
        <v>0</v>
      </c>
      <c r="J16" s="21">
        <v>0</v>
      </c>
      <c r="K16" s="21">
        <v>0</v>
      </c>
      <c r="L16" s="49">
        <v>20</v>
      </c>
      <c r="M16" s="49">
        <v>60</v>
      </c>
      <c r="N16" s="50">
        <f t="shared" si="8"/>
        <v>0</v>
      </c>
      <c r="O16" s="51" t="e">
        <f t="shared" si="1"/>
        <v>#DIV/0!</v>
      </c>
      <c r="P16" s="22">
        <v>30</v>
      </c>
      <c r="Q16" s="22">
        <f t="shared" si="2"/>
        <v>-12</v>
      </c>
      <c r="R16" s="21"/>
      <c r="S16" s="20">
        <f t="shared" si="5"/>
        <v>12</v>
      </c>
      <c r="T16" s="64">
        <f t="shared" si="9"/>
        <v>0</v>
      </c>
      <c r="U16" s="64">
        <f t="shared" si="10"/>
        <v>0.047244094488189</v>
      </c>
    </row>
    <row r="17" s="1" customFormat="1" ht="13.5" customHeight="1" spans="1:21">
      <c r="A17" s="10"/>
      <c r="B17" s="17" t="s">
        <v>106</v>
      </c>
      <c r="C17" s="36">
        <v>7</v>
      </c>
      <c r="D17" s="20">
        <v>0</v>
      </c>
      <c r="E17" s="19">
        <v>43734</v>
      </c>
      <c r="F17" s="18">
        <v>17</v>
      </c>
      <c r="G17" s="21">
        <f t="shared" si="3"/>
        <v>24</v>
      </c>
      <c r="H17" s="22">
        <f t="shared" si="4"/>
        <v>350</v>
      </c>
      <c r="I17" s="21">
        <v>3</v>
      </c>
      <c r="J17" s="21">
        <v>0</v>
      </c>
      <c r="K17" s="21">
        <v>0</v>
      </c>
      <c r="L17" s="49">
        <v>20</v>
      </c>
      <c r="M17" s="49">
        <v>60</v>
      </c>
      <c r="N17" s="50">
        <f t="shared" si="8"/>
        <v>0.02</v>
      </c>
      <c r="O17" s="51">
        <f t="shared" si="1"/>
        <v>300</v>
      </c>
      <c r="P17" s="22">
        <v>30</v>
      </c>
      <c r="Q17" s="22">
        <f t="shared" si="2"/>
        <v>-21.8</v>
      </c>
      <c r="R17" s="21"/>
      <c r="S17" s="20">
        <f t="shared" si="5"/>
        <v>24</v>
      </c>
      <c r="T17" s="64">
        <f t="shared" si="9"/>
        <v>0.0857142857142857</v>
      </c>
      <c r="U17" s="64">
        <f t="shared" si="10"/>
        <v>0.094488188976378</v>
      </c>
    </row>
    <row r="18" s="1" customFormat="1" ht="13.5" customHeight="1" spans="1:21">
      <c r="A18" s="23"/>
      <c r="B18" s="24" t="s">
        <v>107</v>
      </c>
      <c r="C18" s="37">
        <v>5</v>
      </c>
      <c r="D18" s="26">
        <v>0</v>
      </c>
      <c r="E18" s="27">
        <v>43734</v>
      </c>
      <c r="F18" s="25">
        <v>7</v>
      </c>
      <c r="G18" s="28">
        <f t="shared" si="3"/>
        <v>12</v>
      </c>
      <c r="H18" s="22">
        <f t="shared" si="4"/>
        <v>50.9708737864078</v>
      </c>
      <c r="I18" s="28">
        <v>1</v>
      </c>
      <c r="J18" s="28">
        <v>1</v>
      </c>
      <c r="K18" s="28">
        <v>1</v>
      </c>
      <c r="L18" s="52">
        <v>20</v>
      </c>
      <c r="M18" s="52">
        <v>60</v>
      </c>
      <c r="N18" s="53">
        <f t="shared" si="8"/>
        <v>0.0980952380952381</v>
      </c>
      <c r="O18" s="54">
        <f t="shared" si="1"/>
        <v>0.970873786407765</v>
      </c>
      <c r="P18" s="38">
        <v>30</v>
      </c>
      <c r="Q18" s="38">
        <f t="shared" si="2"/>
        <v>-1.20952380952381</v>
      </c>
      <c r="R18" s="28"/>
      <c r="S18" s="26">
        <f t="shared" si="5"/>
        <v>12</v>
      </c>
      <c r="T18" s="66">
        <f t="shared" si="9"/>
        <v>0.0285714285714286</v>
      </c>
      <c r="U18" s="66">
        <f t="shared" si="10"/>
        <v>0.047244094488189</v>
      </c>
    </row>
    <row r="19" s="1" customFormat="1" ht="13.5" customHeight="1" spans="1:21">
      <c r="A19" s="29"/>
      <c r="B19" s="30" t="s">
        <v>108</v>
      </c>
      <c r="C19" s="12">
        <v>8</v>
      </c>
      <c r="D19" s="12">
        <v>0</v>
      </c>
      <c r="E19" s="32">
        <v>43734</v>
      </c>
      <c r="F19" s="33">
        <v>23</v>
      </c>
      <c r="G19" s="34">
        <f t="shared" si="3"/>
        <v>31</v>
      </c>
      <c r="H19" s="35">
        <f t="shared" si="4"/>
        <v>16.4705882352941</v>
      </c>
      <c r="I19" s="34">
        <v>9</v>
      </c>
      <c r="J19" s="34">
        <v>7</v>
      </c>
      <c r="K19" s="34">
        <v>4</v>
      </c>
      <c r="L19" s="55">
        <v>20</v>
      </c>
      <c r="M19" s="55">
        <v>60</v>
      </c>
      <c r="N19" s="56">
        <f t="shared" si="8"/>
        <v>0.485714285714286</v>
      </c>
      <c r="O19" s="57">
        <f t="shared" si="1"/>
        <v>-33.5294117647059</v>
      </c>
      <c r="P19" s="35">
        <v>30</v>
      </c>
      <c r="Q19" s="35">
        <f t="shared" si="2"/>
        <v>22.4285714285714</v>
      </c>
      <c r="R19" s="34">
        <v>30</v>
      </c>
      <c r="S19" s="14">
        <f t="shared" si="5"/>
        <v>61</v>
      </c>
      <c r="T19" s="63">
        <f>I19/34</f>
        <v>0.264705882352941</v>
      </c>
      <c r="U19" s="63">
        <f>S19/304</f>
        <v>0.200657894736842</v>
      </c>
    </row>
    <row r="20" s="1" customFormat="1" ht="13.5" customHeight="1" spans="1:21">
      <c r="A20" s="10"/>
      <c r="B20" s="17" t="s">
        <v>109</v>
      </c>
      <c r="C20" s="12">
        <v>10</v>
      </c>
      <c r="D20" s="12">
        <v>0</v>
      </c>
      <c r="E20" s="19">
        <v>43734</v>
      </c>
      <c r="F20" s="18">
        <v>27</v>
      </c>
      <c r="G20" s="21">
        <f t="shared" si="3"/>
        <v>37</v>
      </c>
      <c r="H20" s="22">
        <f t="shared" si="4"/>
        <v>22.4358974358974</v>
      </c>
      <c r="I20" s="21">
        <v>6</v>
      </c>
      <c r="J20" s="21">
        <v>6</v>
      </c>
      <c r="K20" s="21">
        <v>4</v>
      </c>
      <c r="L20" s="49">
        <v>20</v>
      </c>
      <c r="M20" s="49">
        <v>60</v>
      </c>
      <c r="N20" s="50">
        <f t="shared" si="8"/>
        <v>0.445714285714286</v>
      </c>
      <c r="O20" s="51">
        <f t="shared" si="1"/>
        <v>-27.5641025641026</v>
      </c>
      <c r="P20" s="22">
        <v>30</v>
      </c>
      <c r="Q20" s="22">
        <f t="shared" si="2"/>
        <v>12.0285714285714</v>
      </c>
      <c r="R20" s="21">
        <v>15</v>
      </c>
      <c r="S20" s="20">
        <f t="shared" si="5"/>
        <v>52</v>
      </c>
      <c r="T20" s="64">
        <f t="shared" ref="T20:T26" si="11">I20/34</f>
        <v>0.176470588235294</v>
      </c>
      <c r="U20" s="64">
        <f t="shared" ref="U20:U26" si="12">S20/304</f>
        <v>0.171052631578947</v>
      </c>
    </row>
    <row r="21" s="1" customFormat="1" ht="13.5" customHeight="1" spans="1:21">
      <c r="A21" s="10"/>
      <c r="B21" s="17" t="s">
        <v>110</v>
      </c>
      <c r="C21" s="18">
        <v>8</v>
      </c>
      <c r="D21" s="18">
        <v>4</v>
      </c>
      <c r="E21" s="19">
        <v>43734</v>
      </c>
      <c r="F21" s="18">
        <v>0</v>
      </c>
      <c r="G21" s="21">
        <f t="shared" si="3"/>
        <v>12</v>
      </c>
      <c r="H21" s="22">
        <f t="shared" si="4"/>
        <v>62.6865671641791</v>
      </c>
      <c r="I21" s="21">
        <v>12</v>
      </c>
      <c r="J21" s="21">
        <v>2</v>
      </c>
      <c r="K21" s="21">
        <v>1</v>
      </c>
      <c r="L21" s="49">
        <v>20</v>
      </c>
      <c r="M21" s="49">
        <v>60</v>
      </c>
      <c r="N21" s="50">
        <f t="shared" si="8"/>
        <v>0.191428571428571</v>
      </c>
      <c r="O21" s="51">
        <f t="shared" si="1"/>
        <v>12.6865671641791</v>
      </c>
      <c r="P21" s="22">
        <v>30</v>
      </c>
      <c r="Q21" s="22">
        <f t="shared" si="2"/>
        <v>9.05714285714286</v>
      </c>
      <c r="R21" s="21">
        <v>10</v>
      </c>
      <c r="S21" s="20">
        <f t="shared" si="5"/>
        <v>22</v>
      </c>
      <c r="T21" s="64">
        <f t="shared" si="11"/>
        <v>0.352941176470588</v>
      </c>
      <c r="U21" s="64">
        <f t="shared" si="12"/>
        <v>0.0723684210526316</v>
      </c>
    </row>
    <row r="22" s="1" customFormat="1" ht="13.5" customHeight="1" spans="1:21">
      <c r="A22" s="10"/>
      <c r="B22" s="17" t="s">
        <v>111</v>
      </c>
      <c r="C22" s="18">
        <v>11</v>
      </c>
      <c r="D22" s="12">
        <v>0</v>
      </c>
      <c r="E22" s="19">
        <v>43734</v>
      </c>
      <c r="F22" s="18">
        <v>13</v>
      </c>
      <c r="G22" s="21">
        <f t="shared" si="3"/>
        <v>24</v>
      </c>
      <c r="H22" s="22">
        <f t="shared" si="4"/>
        <v>98.7179487179487</v>
      </c>
      <c r="I22" s="21">
        <v>3</v>
      </c>
      <c r="J22" s="21">
        <v>1</v>
      </c>
      <c r="K22" s="21">
        <v>1</v>
      </c>
      <c r="L22" s="49">
        <v>20</v>
      </c>
      <c r="M22" s="49">
        <v>60</v>
      </c>
      <c r="N22" s="50">
        <f t="shared" si="8"/>
        <v>0.111428571428571</v>
      </c>
      <c r="O22" s="51">
        <f t="shared" si="1"/>
        <v>48.7179487179487</v>
      </c>
      <c r="P22" s="22">
        <v>30</v>
      </c>
      <c r="Q22" s="22">
        <f t="shared" si="2"/>
        <v>-11.7428571428571</v>
      </c>
      <c r="R22" s="21"/>
      <c r="S22" s="20">
        <f t="shared" si="5"/>
        <v>24</v>
      </c>
      <c r="T22" s="64">
        <f t="shared" si="11"/>
        <v>0.0882352941176471</v>
      </c>
      <c r="U22" s="64">
        <f t="shared" si="12"/>
        <v>0.0789473684210526</v>
      </c>
    </row>
    <row r="23" s="1" customFormat="1" ht="13.5" customHeight="1" spans="1:21">
      <c r="A23" s="10"/>
      <c r="B23" s="17" t="s">
        <v>112</v>
      </c>
      <c r="C23" s="18">
        <v>8</v>
      </c>
      <c r="D23" s="12">
        <v>0</v>
      </c>
      <c r="E23" s="19">
        <v>43734</v>
      </c>
      <c r="F23" s="18">
        <v>22</v>
      </c>
      <c r="G23" s="21">
        <f t="shared" si="3"/>
        <v>30</v>
      </c>
      <c r="H23" s="22">
        <f t="shared" si="4"/>
        <v>27.1844660194175</v>
      </c>
      <c r="I23" s="21">
        <v>3</v>
      </c>
      <c r="J23" s="21">
        <v>3</v>
      </c>
      <c r="K23" s="21">
        <v>3</v>
      </c>
      <c r="L23" s="49">
        <v>20</v>
      </c>
      <c r="M23" s="49">
        <v>60</v>
      </c>
      <c r="N23" s="50">
        <f t="shared" si="8"/>
        <v>0.294285714285714</v>
      </c>
      <c r="O23" s="51">
        <f t="shared" si="1"/>
        <v>-22.8155339805825</v>
      </c>
      <c r="P23" s="22">
        <v>30</v>
      </c>
      <c r="Q23" s="22">
        <f t="shared" si="2"/>
        <v>2.37142857142857</v>
      </c>
      <c r="R23" s="21">
        <v>10</v>
      </c>
      <c r="S23" s="20">
        <f t="shared" si="5"/>
        <v>40</v>
      </c>
      <c r="T23" s="64">
        <f t="shared" si="11"/>
        <v>0.0882352941176471</v>
      </c>
      <c r="U23" s="64">
        <f t="shared" si="12"/>
        <v>0.131578947368421</v>
      </c>
    </row>
    <row r="24" s="1" customFormat="1" ht="13.5" customHeight="1" spans="1:21">
      <c r="A24" s="10"/>
      <c r="B24" s="17" t="s">
        <v>113</v>
      </c>
      <c r="C24" s="12">
        <v>10</v>
      </c>
      <c r="D24" s="12">
        <v>0</v>
      </c>
      <c r="E24" s="19">
        <v>43734</v>
      </c>
      <c r="F24" s="12">
        <v>12</v>
      </c>
      <c r="G24" s="21">
        <f t="shared" si="3"/>
        <v>22</v>
      </c>
      <c r="H24" s="22" t="e">
        <f t="shared" si="4"/>
        <v>#DIV/0!</v>
      </c>
      <c r="I24" s="21">
        <v>0</v>
      </c>
      <c r="J24" s="21">
        <v>0</v>
      </c>
      <c r="K24" s="21">
        <v>0</v>
      </c>
      <c r="L24" s="49">
        <v>20</v>
      </c>
      <c r="M24" s="49">
        <v>60</v>
      </c>
      <c r="N24" s="50">
        <f t="shared" si="8"/>
        <v>0</v>
      </c>
      <c r="O24" s="51" t="e">
        <f t="shared" si="1"/>
        <v>#DIV/0!</v>
      </c>
      <c r="P24" s="22">
        <v>30</v>
      </c>
      <c r="Q24" s="22">
        <f t="shared" si="2"/>
        <v>-22</v>
      </c>
      <c r="R24" s="21"/>
      <c r="S24" s="20">
        <f t="shared" si="5"/>
        <v>22</v>
      </c>
      <c r="T24" s="64">
        <f t="shared" si="11"/>
        <v>0</v>
      </c>
      <c r="U24" s="64">
        <f t="shared" si="12"/>
        <v>0.0723684210526316</v>
      </c>
    </row>
    <row r="25" s="1" customFormat="1" ht="13.5" customHeight="1" spans="1:21">
      <c r="A25" s="10"/>
      <c r="B25" s="17" t="s">
        <v>114</v>
      </c>
      <c r="C25" s="18">
        <v>9</v>
      </c>
      <c r="D25" s="12">
        <v>0</v>
      </c>
      <c r="E25" s="19">
        <v>43734</v>
      </c>
      <c r="F25" s="12">
        <v>12</v>
      </c>
      <c r="G25" s="21">
        <f t="shared" si="3"/>
        <v>21</v>
      </c>
      <c r="H25" s="22">
        <f t="shared" si="4"/>
        <v>91.747572815534</v>
      </c>
      <c r="I25" s="21">
        <v>1</v>
      </c>
      <c r="J25" s="21">
        <v>1</v>
      </c>
      <c r="K25" s="21">
        <v>1</v>
      </c>
      <c r="L25" s="49">
        <v>20</v>
      </c>
      <c r="M25" s="49">
        <v>60</v>
      </c>
      <c r="N25" s="50">
        <f t="shared" si="8"/>
        <v>0.0980952380952381</v>
      </c>
      <c r="O25" s="51">
        <f t="shared" si="1"/>
        <v>41.747572815534</v>
      </c>
      <c r="P25" s="22">
        <v>30</v>
      </c>
      <c r="Q25" s="22">
        <f t="shared" si="2"/>
        <v>-10.2095238095238</v>
      </c>
      <c r="R25" s="21"/>
      <c r="S25" s="20">
        <f t="shared" si="5"/>
        <v>21</v>
      </c>
      <c r="T25" s="64">
        <f t="shared" si="11"/>
        <v>0.0294117647058824</v>
      </c>
      <c r="U25" s="64">
        <f t="shared" si="12"/>
        <v>0.0690789473684211</v>
      </c>
    </row>
    <row r="26" s="1" customFormat="1" ht="13.5" customHeight="1" spans="1:21">
      <c r="A26" s="23"/>
      <c r="B26" s="24" t="s">
        <v>115</v>
      </c>
      <c r="C26" s="25">
        <v>10</v>
      </c>
      <c r="D26" s="12">
        <v>0</v>
      </c>
      <c r="E26" s="27">
        <v>43734</v>
      </c>
      <c r="F26" s="25">
        <v>12</v>
      </c>
      <c r="G26" s="28">
        <f t="shared" si="3"/>
        <v>22</v>
      </c>
      <c r="H26" s="22" t="e">
        <f t="shared" si="4"/>
        <v>#DIV/0!</v>
      </c>
      <c r="I26" s="28">
        <v>0</v>
      </c>
      <c r="J26" s="28">
        <v>0</v>
      </c>
      <c r="K26" s="28">
        <v>0</v>
      </c>
      <c r="L26" s="52">
        <v>20</v>
      </c>
      <c r="M26" s="52">
        <v>60</v>
      </c>
      <c r="N26" s="53">
        <f t="shared" si="8"/>
        <v>0</v>
      </c>
      <c r="O26" s="54" t="e">
        <f t="shared" si="1"/>
        <v>#DIV/0!</v>
      </c>
      <c r="P26" s="38">
        <v>30</v>
      </c>
      <c r="Q26" s="38">
        <f t="shared" si="2"/>
        <v>-22</v>
      </c>
      <c r="R26" s="28"/>
      <c r="S26" s="26">
        <f t="shared" si="5"/>
        <v>22</v>
      </c>
      <c r="T26" s="66">
        <f t="shared" si="11"/>
        <v>0</v>
      </c>
      <c r="U26" s="66">
        <f t="shared" si="12"/>
        <v>0.0723684210526316</v>
      </c>
    </row>
    <row r="27" s="1" customFormat="1" ht="13.5" customHeight="1" spans="1:21">
      <c r="A27" s="29"/>
      <c r="B27" s="30" t="s">
        <v>116</v>
      </c>
      <c r="C27" s="33">
        <v>6</v>
      </c>
      <c r="D27" s="33">
        <v>20</v>
      </c>
      <c r="E27" s="32">
        <v>43734</v>
      </c>
      <c r="F27" s="33">
        <v>3</v>
      </c>
      <c r="G27" s="34">
        <f t="shared" si="3"/>
        <v>29</v>
      </c>
      <c r="H27" s="35">
        <f t="shared" si="4"/>
        <v>110.08064516129</v>
      </c>
      <c r="I27" s="34">
        <v>5</v>
      </c>
      <c r="J27" s="34">
        <v>3</v>
      </c>
      <c r="K27" s="34">
        <v>2</v>
      </c>
      <c r="L27" s="55">
        <v>20</v>
      </c>
      <c r="M27" s="55">
        <v>60</v>
      </c>
      <c r="N27" s="56">
        <f t="shared" si="8"/>
        <v>0.236190476190476</v>
      </c>
      <c r="O27" s="57">
        <f t="shared" si="1"/>
        <v>60.0806451612903</v>
      </c>
      <c r="P27" s="35">
        <v>30</v>
      </c>
      <c r="Q27" s="35">
        <f t="shared" si="2"/>
        <v>-3.01904761904762</v>
      </c>
      <c r="R27" s="34">
        <v>10</v>
      </c>
      <c r="S27" s="14">
        <f t="shared" si="5"/>
        <v>39</v>
      </c>
      <c r="T27" s="63">
        <f>I27/24</f>
        <v>0.208333333333333</v>
      </c>
      <c r="U27" s="63">
        <f>S27/223</f>
        <v>0.174887892376682</v>
      </c>
    </row>
    <row r="28" s="1" customFormat="1" ht="13.5" customHeight="1" spans="1:21">
      <c r="A28" s="10"/>
      <c r="B28" s="17" t="s">
        <v>117</v>
      </c>
      <c r="C28" s="12">
        <v>5</v>
      </c>
      <c r="D28" s="12">
        <v>0</v>
      </c>
      <c r="E28" s="19">
        <v>43734</v>
      </c>
      <c r="F28" s="18">
        <v>14</v>
      </c>
      <c r="G28" s="21">
        <f t="shared" si="3"/>
        <v>19</v>
      </c>
      <c r="H28" s="22">
        <f t="shared" si="4"/>
        <v>21.1693548387097</v>
      </c>
      <c r="I28" s="21">
        <v>5</v>
      </c>
      <c r="J28" s="21">
        <v>3</v>
      </c>
      <c r="K28" s="21">
        <v>2</v>
      </c>
      <c r="L28" s="49">
        <v>20</v>
      </c>
      <c r="M28" s="49">
        <v>60</v>
      </c>
      <c r="N28" s="50">
        <f t="shared" si="8"/>
        <v>0.236190476190476</v>
      </c>
      <c r="O28" s="51">
        <f t="shared" si="1"/>
        <v>-28.8306451612903</v>
      </c>
      <c r="P28" s="22">
        <v>30</v>
      </c>
      <c r="Q28" s="22">
        <f t="shared" si="2"/>
        <v>6.98095238095238</v>
      </c>
      <c r="R28" s="21">
        <v>10</v>
      </c>
      <c r="S28" s="20">
        <f t="shared" si="5"/>
        <v>29</v>
      </c>
      <c r="T28" s="64">
        <f t="shared" ref="T28:T34" si="13">I28/24</f>
        <v>0.208333333333333</v>
      </c>
      <c r="U28" s="64">
        <f t="shared" ref="U28:U34" si="14">S28/223</f>
        <v>0.130044843049327</v>
      </c>
    </row>
    <row r="29" s="1" customFormat="1" ht="13.5" customHeight="1" spans="1:21">
      <c r="A29" s="10"/>
      <c r="B29" s="17" t="s">
        <v>118</v>
      </c>
      <c r="C29" s="18">
        <v>5</v>
      </c>
      <c r="D29" s="12">
        <v>0</v>
      </c>
      <c r="E29" s="19">
        <v>43734</v>
      </c>
      <c r="F29" s="12">
        <v>11</v>
      </c>
      <c r="G29" s="21">
        <f t="shared" si="3"/>
        <v>16</v>
      </c>
      <c r="H29" s="22">
        <f t="shared" si="4"/>
        <v>26.1194029850746</v>
      </c>
      <c r="I29" s="21">
        <v>6</v>
      </c>
      <c r="J29" s="21">
        <v>4</v>
      </c>
      <c r="K29" s="21">
        <v>1</v>
      </c>
      <c r="L29" s="49">
        <v>20</v>
      </c>
      <c r="M29" s="49">
        <v>60</v>
      </c>
      <c r="N29" s="50">
        <f t="shared" si="8"/>
        <v>0.191428571428571</v>
      </c>
      <c r="O29" s="51">
        <f t="shared" si="1"/>
        <v>-23.8805970149254</v>
      </c>
      <c r="P29" s="22">
        <v>30</v>
      </c>
      <c r="Q29" s="22">
        <f t="shared" si="2"/>
        <v>5.05714285714286</v>
      </c>
      <c r="R29" s="21">
        <v>10</v>
      </c>
      <c r="S29" s="20">
        <f t="shared" si="5"/>
        <v>26</v>
      </c>
      <c r="T29" s="64">
        <f t="shared" si="13"/>
        <v>0.25</v>
      </c>
      <c r="U29" s="64">
        <f t="shared" si="14"/>
        <v>0.116591928251121</v>
      </c>
    </row>
    <row r="30" s="1" customFormat="1" ht="13.5" customHeight="1" spans="1:21">
      <c r="A30" s="10"/>
      <c r="B30" s="17" t="s">
        <v>119</v>
      </c>
      <c r="C30" s="18">
        <v>12</v>
      </c>
      <c r="D30" s="12">
        <v>0</v>
      </c>
      <c r="E30" s="19">
        <v>43734</v>
      </c>
      <c r="F30" s="18">
        <v>11</v>
      </c>
      <c r="G30" s="21">
        <f t="shared" si="3"/>
        <v>23</v>
      </c>
      <c r="H30" s="22">
        <f t="shared" si="4"/>
        <v>450</v>
      </c>
      <c r="I30" s="21">
        <v>4</v>
      </c>
      <c r="J30" s="21">
        <v>0</v>
      </c>
      <c r="K30" s="21">
        <v>0</v>
      </c>
      <c r="L30" s="49">
        <v>20</v>
      </c>
      <c r="M30" s="49">
        <v>60</v>
      </c>
      <c r="N30" s="50">
        <f t="shared" si="8"/>
        <v>0.0266666666666667</v>
      </c>
      <c r="O30" s="51">
        <f t="shared" si="1"/>
        <v>400</v>
      </c>
      <c r="P30" s="22">
        <v>30</v>
      </c>
      <c r="Q30" s="22">
        <f t="shared" si="2"/>
        <v>-20.0666666666667</v>
      </c>
      <c r="R30" s="21"/>
      <c r="S30" s="20">
        <f t="shared" si="5"/>
        <v>23</v>
      </c>
      <c r="T30" s="64">
        <f t="shared" si="13"/>
        <v>0.166666666666667</v>
      </c>
      <c r="U30" s="64">
        <f t="shared" si="14"/>
        <v>0.103139013452915</v>
      </c>
    </row>
    <row r="31" s="1" customFormat="1" ht="13.5" customHeight="1" spans="1:21">
      <c r="A31" s="10"/>
      <c r="B31" s="17" t="s">
        <v>120</v>
      </c>
      <c r="C31" s="18">
        <v>6</v>
      </c>
      <c r="D31" s="12">
        <v>0</v>
      </c>
      <c r="E31" s="19">
        <v>43734</v>
      </c>
      <c r="F31" s="18">
        <v>8</v>
      </c>
      <c r="G31" s="21">
        <f t="shared" si="3"/>
        <v>14</v>
      </c>
      <c r="H31" s="22">
        <f t="shared" si="4"/>
        <v>29.5774647887324</v>
      </c>
      <c r="I31" s="21">
        <v>3</v>
      </c>
      <c r="J31" s="21">
        <v>2</v>
      </c>
      <c r="K31" s="21">
        <v>2</v>
      </c>
      <c r="L31" s="49">
        <v>20</v>
      </c>
      <c r="M31" s="49">
        <v>60</v>
      </c>
      <c r="N31" s="50">
        <f t="shared" si="8"/>
        <v>0.202857142857143</v>
      </c>
      <c r="O31" s="51">
        <f t="shared" si="1"/>
        <v>-20.4225352112676</v>
      </c>
      <c r="P31" s="22">
        <v>30</v>
      </c>
      <c r="Q31" s="22">
        <f t="shared" si="2"/>
        <v>8.31428571428571</v>
      </c>
      <c r="R31" s="21">
        <v>10</v>
      </c>
      <c r="S31" s="20">
        <f t="shared" si="5"/>
        <v>24</v>
      </c>
      <c r="T31" s="64">
        <f t="shared" si="13"/>
        <v>0.125</v>
      </c>
      <c r="U31" s="64">
        <f t="shared" si="14"/>
        <v>0.10762331838565</v>
      </c>
    </row>
    <row r="32" s="1" customFormat="1" ht="13.5" customHeight="1" spans="1:21">
      <c r="A32" s="10"/>
      <c r="B32" s="17" t="s">
        <v>121</v>
      </c>
      <c r="C32" s="18">
        <v>9</v>
      </c>
      <c r="D32" s="12">
        <v>0</v>
      </c>
      <c r="E32" s="19">
        <v>43734</v>
      </c>
      <c r="F32" s="12">
        <v>7</v>
      </c>
      <c r="G32" s="21">
        <f t="shared" si="3"/>
        <v>16</v>
      </c>
      <c r="H32" s="22">
        <f t="shared" si="4"/>
        <v>91.747572815534</v>
      </c>
      <c r="I32" s="21">
        <v>1</v>
      </c>
      <c r="J32" s="21">
        <v>1</v>
      </c>
      <c r="K32" s="21">
        <v>1</v>
      </c>
      <c r="L32" s="49">
        <v>20</v>
      </c>
      <c r="M32" s="49">
        <v>60</v>
      </c>
      <c r="N32" s="50">
        <f t="shared" si="8"/>
        <v>0.0980952380952381</v>
      </c>
      <c r="O32" s="51">
        <f t="shared" si="1"/>
        <v>41.747572815534</v>
      </c>
      <c r="P32" s="22">
        <v>30</v>
      </c>
      <c r="Q32" s="22">
        <f t="shared" si="2"/>
        <v>-5.20952380952381</v>
      </c>
      <c r="R32" s="21"/>
      <c r="S32" s="20">
        <f t="shared" si="5"/>
        <v>16</v>
      </c>
      <c r="T32" s="64">
        <f t="shared" si="13"/>
        <v>0.0416666666666667</v>
      </c>
      <c r="U32" s="64">
        <f t="shared" si="14"/>
        <v>0.0717488789237668</v>
      </c>
    </row>
    <row r="33" s="1" customFormat="1" ht="13.5" customHeight="1" spans="1:21">
      <c r="A33" s="10"/>
      <c r="B33" s="17" t="s">
        <v>122</v>
      </c>
      <c r="C33" s="12">
        <v>11</v>
      </c>
      <c r="D33" s="12">
        <v>0</v>
      </c>
      <c r="E33" s="19">
        <v>43734</v>
      </c>
      <c r="F33" s="12">
        <v>7</v>
      </c>
      <c r="G33" s="21">
        <f t="shared" si="3"/>
        <v>18</v>
      </c>
      <c r="H33" s="22" t="e">
        <f t="shared" si="4"/>
        <v>#DIV/0!</v>
      </c>
      <c r="I33" s="21">
        <v>0</v>
      </c>
      <c r="J33" s="21">
        <v>0</v>
      </c>
      <c r="K33" s="21">
        <v>0</v>
      </c>
      <c r="L33" s="49">
        <v>20</v>
      </c>
      <c r="M33" s="49">
        <v>60</v>
      </c>
      <c r="N33" s="50">
        <f t="shared" si="8"/>
        <v>0</v>
      </c>
      <c r="O33" s="51" t="e">
        <f t="shared" si="1"/>
        <v>#DIV/0!</v>
      </c>
      <c r="P33" s="22">
        <v>30</v>
      </c>
      <c r="Q33" s="22">
        <f t="shared" si="2"/>
        <v>-18</v>
      </c>
      <c r="R33" s="21"/>
      <c r="S33" s="20">
        <f t="shared" si="5"/>
        <v>18</v>
      </c>
      <c r="T33" s="64">
        <f t="shared" si="13"/>
        <v>0</v>
      </c>
      <c r="U33" s="64">
        <f t="shared" si="14"/>
        <v>0.0807174887892377</v>
      </c>
    </row>
    <row r="34" s="1" customFormat="1" ht="13.5" customHeight="1" spans="1:21">
      <c r="A34" s="23"/>
      <c r="B34" s="24" t="s">
        <v>123</v>
      </c>
      <c r="C34" s="25">
        <v>11</v>
      </c>
      <c r="D34" s="12">
        <v>0</v>
      </c>
      <c r="E34" s="27">
        <v>43734</v>
      </c>
      <c r="F34" s="25">
        <v>7</v>
      </c>
      <c r="G34" s="28">
        <f t="shared" si="3"/>
        <v>18</v>
      </c>
      <c r="H34" s="22" t="e">
        <f t="shared" si="4"/>
        <v>#DIV/0!</v>
      </c>
      <c r="I34" s="28">
        <v>0</v>
      </c>
      <c r="J34" s="28">
        <v>0</v>
      </c>
      <c r="K34" s="28">
        <v>0</v>
      </c>
      <c r="L34" s="52">
        <v>20</v>
      </c>
      <c r="M34" s="52">
        <v>60</v>
      </c>
      <c r="N34" s="53">
        <f t="shared" si="8"/>
        <v>0</v>
      </c>
      <c r="O34" s="54" t="e">
        <f t="shared" si="1"/>
        <v>#DIV/0!</v>
      </c>
      <c r="P34" s="38">
        <v>30</v>
      </c>
      <c r="Q34" s="38">
        <f t="shared" si="2"/>
        <v>-18</v>
      </c>
      <c r="R34" s="28"/>
      <c r="S34" s="26">
        <f t="shared" si="5"/>
        <v>18</v>
      </c>
      <c r="T34" s="66">
        <f t="shared" si="13"/>
        <v>0</v>
      </c>
      <c r="U34" s="66">
        <f t="shared" si="14"/>
        <v>0.0807174887892377</v>
      </c>
    </row>
    <row r="35" s="1" customFormat="1" ht="13.5" customHeight="1" spans="1:21">
      <c r="A35" s="29"/>
      <c r="B35" s="30" t="s">
        <v>124</v>
      </c>
      <c r="C35" s="33">
        <v>10</v>
      </c>
      <c r="D35" s="33">
        <v>0</v>
      </c>
      <c r="E35" s="32">
        <v>43734</v>
      </c>
      <c r="F35" s="33">
        <v>30</v>
      </c>
      <c r="G35" s="34">
        <f t="shared" si="3"/>
        <v>40</v>
      </c>
      <c r="H35" s="35">
        <f t="shared" si="4"/>
        <v>84.6774193548387</v>
      </c>
      <c r="I35" s="34">
        <v>4</v>
      </c>
      <c r="J35" s="34">
        <v>1</v>
      </c>
      <c r="K35" s="34">
        <v>1</v>
      </c>
      <c r="L35" s="55">
        <v>20</v>
      </c>
      <c r="M35" s="55">
        <v>60</v>
      </c>
      <c r="N35" s="56">
        <f t="shared" si="8"/>
        <v>0.118095238095238</v>
      </c>
      <c r="O35" s="57">
        <f t="shared" si="1"/>
        <v>34.6774193548387</v>
      </c>
      <c r="P35" s="35">
        <v>30</v>
      </c>
      <c r="Q35" s="35">
        <f t="shared" si="2"/>
        <v>-27.0095238095238</v>
      </c>
      <c r="R35" s="34"/>
      <c r="S35" s="14">
        <f t="shared" si="5"/>
        <v>40</v>
      </c>
      <c r="T35" s="63">
        <f>I35/25</f>
        <v>0.16</v>
      </c>
      <c r="U35" s="63">
        <f>S35/185</f>
        <v>0.216216216216216</v>
      </c>
    </row>
    <row r="36" s="1" customFormat="1" ht="13.5" customHeight="1" spans="1:21">
      <c r="A36" s="10"/>
      <c r="B36" s="17" t="s">
        <v>125</v>
      </c>
      <c r="C36" s="18">
        <v>9</v>
      </c>
      <c r="D36" s="12">
        <v>0</v>
      </c>
      <c r="E36" s="19">
        <v>43734</v>
      </c>
      <c r="F36" s="12">
        <v>12</v>
      </c>
      <c r="G36" s="21">
        <f t="shared" si="3"/>
        <v>21</v>
      </c>
      <c r="H36" s="22">
        <f t="shared" si="4"/>
        <v>192.857142857143</v>
      </c>
      <c r="I36" s="21">
        <v>4</v>
      </c>
      <c r="J36" s="21">
        <v>1</v>
      </c>
      <c r="K36" s="21">
        <v>0</v>
      </c>
      <c r="L36" s="49">
        <v>20</v>
      </c>
      <c r="M36" s="49">
        <v>60</v>
      </c>
      <c r="N36" s="50">
        <f t="shared" si="8"/>
        <v>0.0466666666666667</v>
      </c>
      <c r="O36" s="51">
        <f t="shared" si="1"/>
        <v>142.857142857143</v>
      </c>
      <c r="P36" s="22">
        <v>30</v>
      </c>
      <c r="Q36" s="22">
        <f t="shared" si="2"/>
        <v>-15.8666666666667</v>
      </c>
      <c r="R36" s="21"/>
      <c r="S36" s="20">
        <f t="shared" si="5"/>
        <v>21</v>
      </c>
      <c r="T36" s="64">
        <f t="shared" ref="T36:T42" si="15">I36/25</f>
        <v>0.16</v>
      </c>
      <c r="U36" s="64">
        <f t="shared" ref="U36:U42" si="16">S36/185</f>
        <v>0.113513513513514</v>
      </c>
    </row>
    <row r="37" s="1" customFormat="1" ht="13.5" customHeight="1" spans="1:21">
      <c r="A37" s="10"/>
      <c r="B37" s="17" t="s">
        <v>126</v>
      </c>
      <c r="C37" s="18">
        <v>5</v>
      </c>
      <c r="D37" s="18">
        <v>10</v>
      </c>
      <c r="E37" s="19">
        <v>43734</v>
      </c>
      <c r="F37" s="18">
        <v>2</v>
      </c>
      <c r="G37" s="21">
        <f t="shared" si="3"/>
        <v>17</v>
      </c>
      <c r="H37" s="22">
        <f t="shared" si="4"/>
        <v>204.545454545455</v>
      </c>
      <c r="I37" s="21">
        <v>8</v>
      </c>
      <c r="J37" s="21">
        <v>1</v>
      </c>
      <c r="K37" s="21">
        <v>0</v>
      </c>
      <c r="L37" s="49">
        <v>20</v>
      </c>
      <c r="M37" s="49">
        <v>60</v>
      </c>
      <c r="N37" s="50">
        <f t="shared" si="8"/>
        <v>0.0733333333333333</v>
      </c>
      <c r="O37" s="51">
        <f t="shared" si="1"/>
        <v>154.545454545455</v>
      </c>
      <c r="P37" s="22">
        <v>30</v>
      </c>
      <c r="Q37" s="22">
        <f t="shared" si="2"/>
        <v>-8.93333333333333</v>
      </c>
      <c r="R37" s="21"/>
      <c r="S37" s="20">
        <f t="shared" si="5"/>
        <v>17</v>
      </c>
      <c r="T37" s="64">
        <f t="shared" si="15"/>
        <v>0.32</v>
      </c>
      <c r="U37" s="64">
        <f t="shared" si="16"/>
        <v>0.0918918918918919</v>
      </c>
    </row>
    <row r="38" s="1" customFormat="1" ht="13.5" customHeight="1" spans="1:21">
      <c r="A38" s="10"/>
      <c r="B38" s="17" t="s">
        <v>127</v>
      </c>
      <c r="C38" s="18">
        <v>15</v>
      </c>
      <c r="D38" s="12">
        <v>0</v>
      </c>
      <c r="E38" s="19">
        <v>43734</v>
      </c>
      <c r="F38" s="18">
        <v>4</v>
      </c>
      <c r="G38" s="21">
        <f t="shared" si="3"/>
        <v>19</v>
      </c>
      <c r="H38" s="22">
        <f t="shared" si="4"/>
        <v>1125</v>
      </c>
      <c r="I38" s="21">
        <v>2</v>
      </c>
      <c r="J38" s="21">
        <v>0</v>
      </c>
      <c r="K38" s="21">
        <v>0</v>
      </c>
      <c r="L38" s="49">
        <v>20</v>
      </c>
      <c r="M38" s="49">
        <v>60</v>
      </c>
      <c r="N38" s="50">
        <f t="shared" si="8"/>
        <v>0.0133333333333333</v>
      </c>
      <c r="O38" s="51">
        <f t="shared" si="1"/>
        <v>1075</v>
      </c>
      <c r="P38" s="22">
        <v>30</v>
      </c>
      <c r="Q38" s="22">
        <f t="shared" si="2"/>
        <v>-17.5333333333333</v>
      </c>
      <c r="R38" s="21"/>
      <c r="S38" s="20">
        <f t="shared" si="5"/>
        <v>19</v>
      </c>
      <c r="T38" s="64">
        <f t="shared" si="15"/>
        <v>0.08</v>
      </c>
      <c r="U38" s="64">
        <f t="shared" si="16"/>
        <v>0.102702702702703</v>
      </c>
    </row>
    <row r="39" s="1" customFormat="1" ht="13.5" customHeight="1" spans="1:21">
      <c r="A39" s="10"/>
      <c r="B39" s="17" t="s">
        <v>128</v>
      </c>
      <c r="C39" s="18">
        <v>18</v>
      </c>
      <c r="D39" s="12">
        <v>0</v>
      </c>
      <c r="E39" s="19">
        <v>43734</v>
      </c>
      <c r="F39" s="18">
        <v>16</v>
      </c>
      <c r="G39" s="21">
        <f t="shared" si="3"/>
        <v>34</v>
      </c>
      <c r="H39" s="22">
        <f t="shared" si="4"/>
        <v>183.495145631068</v>
      </c>
      <c r="I39" s="21">
        <v>1</v>
      </c>
      <c r="J39" s="21">
        <v>1</v>
      </c>
      <c r="K39" s="21">
        <v>1</v>
      </c>
      <c r="L39" s="49">
        <v>20</v>
      </c>
      <c r="M39" s="49">
        <v>60</v>
      </c>
      <c r="N39" s="50">
        <f t="shared" si="8"/>
        <v>0.0980952380952381</v>
      </c>
      <c r="O39" s="51">
        <f t="shared" si="1"/>
        <v>133.495145631068</v>
      </c>
      <c r="P39" s="22">
        <v>30</v>
      </c>
      <c r="Q39" s="22">
        <f t="shared" si="2"/>
        <v>-23.2095238095238</v>
      </c>
      <c r="R39" s="21"/>
      <c r="S39" s="20">
        <f t="shared" si="5"/>
        <v>34</v>
      </c>
      <c r="T39" s="64">
        <f t="shared" si="15"/>
        <v>0.04</v>
      </c>
      <c r="U39" s="64">
        <f t="shared" si="16"/>
        <v>0.183783783783784</v>
      </c>
    </row>
    <row r="40" s="1" customFormat="1" ht="13.5" customHeight="1" spans="1:21">
      <c r="A40" s="10"/>
      <c r="B40" s="17" t="s">
        <v>129</v>
      </c>
      <c r="C40" s="18">
        <v>12</v>
      </c>
      <c r="D40" s="12">
        <v>0</v>
      </c>
      <c r="E40" s="19">
        <v>43734</v>
      </c>
      <c r="F40" s="18">
        <v>12</v>
      </c>
      <c r="G40" s="21">
        <f t="shared" si="3"/>
        <v>24</v>
      </c>
      <c r="H40" s="22">
        <f t="shared" si="4"/>
        <v>122.330097087379</v>
      </c>
      <c r="I40" s="21">
        <v>1</v>
      </c>
      <c r="J40" s="21">
        <v>1</v>
      </c>
      <c r="K40" s="21">
        <v>1</v>
      </c>
      <c r="L40" s="49">
        <v>20</v>
      </c>
      <c r="M40" s="49">
        <v>60</v>
      </c>
      <c r="N40" s="50">
        <f t="shared" si="8"/>
        <v>0.0980952380952381</v>
      </c>
      <c r="O40" s="51">
        <f t="shared" si="1"/>
        <v>72.3300970873786</v>
      </c>
      <c r="P40" s="22">
        <v>30</v>
      </c>
      <c r="Q40" s="22">
        <f t="shared" si="2"/>
        <v>-13.2095238095238</v>
      </c>
      <c r="R40" s="21"/>
      <c r="S40" s="20">
        <f t="shared" si="5"/>
        <v>24</v>
      </c>
      <c r="T40" s="64">
        <f t="shared" si="15"/>
        <v>0.04</v>
      </c>
      <c r="U40" s="64">
        <f t="shared" si="16"/>
        <v>0.12972972972973</v>
      </c>
    </row>
    <row r="41" s="1" customFormat="1" ht="13.5" customHeight="1" spans="1:21">
      <c r="A41" s="10"/>
      <c r="B41" s="17" t="s">
        <v>130</v>
      </c>
      <c r="C41" s="18">
        <v>7</v>
      </c>
      <c r="D41" s="12">
        <v>0</v>
      </c>
      <c r="E41" s="19">
        <v>43734</v>
      </c>
      <c r="F41" s="18">
        <v>2</v>
      </c>
      <c r="G41" s="21">
        <f t="shared" si="3"/>
        <v>9</v>
      </c>
      <c r="H41" s="22" t="e">
        <f t="shared" si="4"/>
        <v>#DIV/0!</v>
      </c>
      <c r="I41" s="21">
        <v>0</v>
      </c>
      <c r="J41" s="21">
        <v>0</v>
      </c>
      <c r="K41" s="21">
        <v>0</v>
      </c>
      <c r="L41" s="49">
        <v>20</v>
      </c>
      <c r="M41" s="49">
        <v>60</v>
      </c>
      <c r="N41" s="50">
        <f t="shared" si="8"/>
        <v>0</v>
      </c>
      <c r="O41" s="51" t="e">
        <f t="shared" si="1"/>
        <v>#DIV/0!</v>
      </c>
      <c r="P41" s="22">
        <v>30</v>
      </c>
      <c r="Q41" s="22">
        <f t="shared" si="2"/>
        <v>-9</v>
      </c>
      <c r="R41" s="21"/>
      <c r="S41" s="20">
        <f t="shared" si="5"/>
        <v>9</v>
      </c>
      <c r="T41" s="64">
        <f t="shared" si="15"/>
        <v>0</v>
      </c>
      <c r="U41" s="64">
        <f t="shared" si="16"/>
        <v>0.0486486486486487</v>
      </c>
    </row>
    <row r="42" s="1" customFormat="1" ht="13.5" customHeight="1" spans="1:21">
      <c r="A42" s="23"/>
      <c r="B42" s="24" t="s">
        <v>131</v>
      </c>
      <c r="C42" s="25">
        <v>6</v>
      </c>
      <c r="D42" s="26">
        <v>0</v>
      </c>
      <c r="E42" s="27">
        <v>43734</v>
      </c>
      <c r="F42" s="25">
        <v>5</v>
      </c>
      <c r="G42" s="28">
        <f t="shared" si="3"/>
        <v>11</v>
      </c>
      <c r="H42" s="38">
        <f t="shared" si="4"/>
        <v>45</v>
      </c>
      <c r="I42" s="28">
        <v>5</v>
      </c>
      <c r="J42" s="28">
        <v>5</v>
      </c>
      <c r="K42" s="28">
        <v>0</v>
      </c>
      <c r="L42" s="52">
        <v>20</v>
      </c>
      <c r="M42" s="52">
        <v>60</v>
      </c>
      <c r="N42" s="53">
        <f t="shared" si="8"/>
        <v>0.133333333333333</v>
      </c>
      <c r="O42" s="54">
        <f t="shared" si="1"/>
        <v>-5</v>
      </c>
      <c r="P42" s="38">
        <v>30</v>
      </c>
      <c r="Q42" s="38">
        <f t="shared" si="2"/>
        <v>3.66666666666667</v>
      </c>
      <c r="R42" s="28">
        <v>10</v>
      </c>
      <c r="S42" s="26">
        <f t="shared" si="5"/>
        <v>21</v>
      </c>
      <c r="T42" s="66">
        <f t="shared" si="15"/>
        <v>0.2</v>
      </c>
      <c r="U42" s="66">
        <f t="shared" si="16"/>
        <v>0.113513513513514</v>
      </c>
    </row>
    <row r="43" s="1" customFormat="1" ht="13.5" customHeight="1" spans="2:21">
      <c r="B43" s="39"/>
      <c r="C43" s="40"/>
      <c r="D43" s="40"/>
      <c r="E43" s="40"/>
      <c r="H43" s="41"/>
      <c r="I43" s="40"/>
      <c r="J43" s="40"/>
      <c r="K43" s="40"/>
      <c r="L43" s="40"/>
      <c r="M43" s="40"/>
      <c r="N43" s="41"/>
      <c r="O43" s="58"/>
      <c r="P43" s="41"/>
      <c r="Q43" s="41"/>
      <c r="R43" s="67">
        <f>SUM(R2:R42)</f>
        <v>495</v>
      </c>
      <c r="S43" s="68"/>
      <c r="T43" s="69"/>
      <c r="U43" s="69"/>
    </row>
  </sheetData>
  <conditionalFormatting sqref="D3">
    <cfRule type="duplicateValues" dxfId="0" priority="64"/>
  </conditionalFormatting>
  <conditionalFormatting sqref="F3">
    <cfRule type="duplicateValues" dxfId="0" priority="21"/>
  </conditionalFormatting>
  <conditionalFormatting sqref="F4">
    <cfRule type="duplicateValues" dxfId="0" priority="20"/>
  </conditionalFormatting>
  <conditionalFormatting sqref="F5">
    <cfRule type="duplicateValues" dxfId="0" priority="19"/>
  </conditionalFormatting>
  <conditionalFormatting sqref="F6">
    <cfRule type="duplicateValues" dxfId="0" priority="18"/>
  </conditionalFormatting>
  <conditionalFormatting sqref="D11">
    <cfRule type="duplicateValues" dxfId="0" priority="62"/>
  </conditionalFormatting>
  <conditionalFormatting sqref="D12">
    <cfRule type="duplicateValues" dxfId="0" priority="63"/>
  </conditionalFormatting>
  <conditionalFormatting sqref="F12">
    <cfRule type="duplicateValues" dxfId="0" priority="17"/>
  </conditionalFormatting>
  <conditionalFormatting sqref="D13">
    <cfRule type="duplicateValues" dxfId="0" priority="46"/>
  </conditionalFormatting>
  <conditionalFormatting sqref="D14">
    <cfRule type="duplicateValues" dxfId="0" priority="45"/>
  </conditionalFormatting>
  <conditionalFormatting sqref="C15">
    <cfRule type="duplicateValues" dxfId="0" priority="16"/>
  </conditionalFormatting>
  <conditionalFormatting sqref="D15">
    <cfRule type="duplicateValues" dxfId="0" priority="44"/>
  </conditionalFormatting>
  <conditionalFormatting sqref="C16">
    <cfRule type="duplicateValues" dxfId="0" priority="15"/>
  </conditionalFormatting>
  <conditionalFormatting sqref="D16">
    <cfRule type="duplicateValues" dxfId="0" priority="43"/>
  </conditionalFormatting>
  <conditionalFormatting sqref="D17">
    <cfRule type="duplicateValues" dxfId="0" priority="42"/>
  </conditionalFormatting>
  <conditionalFormatting sqref="D18">
    <cfRule type="duplicateValues" dxfId="0" priority="41"/>
  </conditionalFormatting>
  <conditionalFormatting sqref="C19">
    <cfRule type="duplicateValues" dxfId="0" priority="14"/>
  </conditionalFormatting>
  <conditionalFormatting sqref="D19">
    <cfRule type="duplicateValues" dxfId="0" priority="60"/>
  </conditionalFormatting>
  <conditionalFormatting sqref="C20">
    <cfRule type="duplicateValues" dxfId="0" priority="13"/>
  </conditionalFormatting>
  <conditionalFormatting sqref="D20">
    <cfRule type="duplicateValues" dxfId="0" priority="40"/>
  </conditionalFormatting>
  <conditionalFormatting sqref="C21">
    <cfRule type="duplicateValues" dxfId="0" priority="12"/>
  </conditionalFormatting>
  <conditionalFormatting sqref="D21">
    <cfRule type="duplicateValues" dxfId="0" priority="61"/>
  </conditionalFormatting>
  <conditionalFormatting sqref="D22">
    <cfRule type="duplicateValues" dxfId="0" priority="39"/>
  </conditionalFormatting>
  <conditionalFormatting sqref="D23">
    <cfRule type="duplicateValues" dxfId="0" priority="38"/>
  </conditionalFormatting>
  <conditionalFormatting sqref="C24">
    <cfRule type="duplicateValues" dxfId="0" priority="11"/>
  </conditionalFormatting>
  <conditionalFormatting sqref="D24">
    <cfRule type="duplicateValues" dxfId="0" priority="37"/>
  </conditionalFormatting>
  <conditionalFormatting sqref="F24">
    <cfRule type="duplicateValues" dxfId="0" priority="7"/>
  </conditionalFormatting>
  <conditionalFormatting sqref="D25">
    <cfRule type="duplicateValues" dxfId="0" priority="36"/>
  </conditionalFormatting>
  <conditionalFormatting sqref="F25">
    <cfRule type="duplicateValues" dxfId="0" priority="6"/>
  </conditionalFormatting>
  <conditionalFormatting sqref="D26">
    <cfRule type="duplicateValues" dxfId="0" priority="35"/>
  </conditionalFormatting>
  <conditionalFormatting sqref="C27">
    <cfRule type="duplicateValues" dxfId="0" priority="10"/>
  </conditionalFormatting>
  <conditionalFormatting sqref="D27">
    <cfRule type="duplicateValues" dxfId="0" priority="59"/>
  </conditionalFormatting>
  <conditionalFormatting sqref="C28">
    <cfRule type="duplicateValues" dxfId="0" priority="9"/>
  </conditionalFormatting>
  <conditionalFormatting sqref="D28">
    <cfRule type="duplicateValues" dxfId="0" priority="34"/>
  </conditionalFormatting>
  <conditionalFormatting sqref="D29">
    <cfRule type="duplicateValues" dxfId="0" priority="33"/>
  </conditionalFormatting>
  <conditionalFormatting sqref="F29">
    <cfRule type="duplicateValues" dxfId="0" priority="5"/>
  </conditionalFormatting>
  <conditionalFormatting sqref="D30">
    <cfRule type="duplicateValues" dxfId="0" priority="32"/>
  </conditionalFormatting>
  <conditionalFormatting sqref="D31">
    <cfRule type="duplicateValues" dxfId="0" priority="31"/>
  </conditionalFormatting>
  <conditionalFormatting sqref="D32">
    <cfRule type="duplicateValues" dxfId="0" priority="30"/>
  </conditionalFormatting>
  <conditionalFormatting sqref="F32">
    <cfRule type="duplicateValues" dxfId="0" priority="4"/>
  </conditionalFormatting>
  <conditionalFormatting sqref="C33">
    <cfRule type="duplicateValues" dxfId="0" priority="8"/>
  </conditionalFormatting>
  <conditionalFormatting sqref="D33">
    <cfRule type="duplicateValues" dxfId="0" priority="29"/>
  </conditionalFormatting>
  <conditionalFormatting sqref="F33">
    <cfRule type="duplicateValues" dxfId="0" priority="3"/>
  </conditionalFormatting>
  <conditionalFormatting sqref="D34">
    <cfRule type="duplicateValues" dxfId="0" priority="28"/>
  </conditionalFormatting>
  <conditionalFormatting sqref="D35">
    <cfRule type="duplicateValues" dxfId="0" priority="57"/>
  </conditionalFormatting>
  <conditionalFormatting sqref="D36">
    <cfRule type="duplicateValues" dxfId="0" priority="27"/>
  </conditionalFormatting>
  <conditionalFormatting sqref="F36">
    <cfRule type="duplicateValues" dxfId="0" priority="2"/>
  </conditionalFormatting>
  <conditionalFormatting sqref="D37">
    <cfRule type="duplicateValues" dxfId="0" priority="58"/>
  </conditionalFormatting>
  <conditionalFormatting sqref="F37">
    <cfRule type="duplicateValues" dxfId="0" priority="1"/>
  </conditionalFormatting>
  <conditionalFormatting sqref="D38">
    <cfRule type="duplicateValues" dxfId="0" priority="26"/>
  </conditionalFormatting>
  <conditionalFormatting sqref="D39">
    <cfRule type="duplicateValues" dxfId="0" priority="25"/>
  </conditionalFormatting>
  <conditionalFormatting sqref="D40">
    <cfRule type="duplicateValues" dxfId="0" priority="24"/>
  </conditionalFormatting>
  <conditionalFormatting sqref="D41">
    <cfRule type="duplicateValues" dxfId="0" priority="23"/>
  </conditionalFormatting>
  <conditionalFormatting sqref="D42">
    <cfRule type="duplicateValues" dxfId="0" priority="22"/>
  </conditionalFormatting>
  <conditionalFormatting sqref="B3:B34">
    <cfRule type="duplicateValues" dxfId="0" priority="67"/>
  </conditionalFormatting>
  <conditionalFormatting sqref="B35:B43">
    <cfRule type="duplicateValues" dxfId="0" priority="66"/>
  </conditionalFormatting>
  <conditionalFormatting sqref="C3:C10">
    <cfRule type="duplicateValues" dxfId="0" priority="51"/>
  </conditionalFormatting>
  <conditionalFormatting sqref="C35:C42">
    <cfRule type="duplicateValues" dxfId="0" priority="47"/>
  </conditionalFormatting>
  <conditionalFormatting sqref="D4:D10">
    <cfRule type="duplicateValues" dxfId="0" priority="65"/>
  </conditionalFormatting>
  <conditionalFormatting sqref="F7:F10">
    <cfRule type="duplicateValues" dxfId="0" priority="56"/>
  </conditionalFormatting>
  <conditionalFormatting sqref="C11:C14 C17:C18">
    <cfRule type="duplicateValues" dxfId="0" priority="50"/>
  </conditionalFormatting>
  <conditionalFormatting sqref="F11 F13:F18">
    <cfRule type="duplicateValues" dxfId="0" priority="55"/>
  </conditionalFormatting>
  <conditionalFormatting sqref="F19:F23 F26">
    <cfRule type="duplicateValues" dxfId="0" priority="54"/>
  </conditionalFormatting>
  <conditionalFormatting sqref="C22:C23 C25:C26">
    <cfRule type="duplicateValues" dxfId="0" priority="49"/>
  </conditionalFormatting>
  <conditionalFormatting sqref="F27:F28 F30:F31 F34">
    <cfRule type="duplicateValues" dxfId="0" priority="53"/>
  </conditionalFormatting>
  <conditionalFormatting sqref="C29:C32 C34">
    <cfRule type="duplicateValues" dxfId="0" priority="48"/>
  </conditionalFormatting>
  <conditionalFormatting sqref="F35 F38:F42">
    <cfRule type="duplicateValues" dxfId="0" priority="52"/>
  </conditionalFormatting>
  <printOptions horizontalCentered="1"/>
  <pageMargins left="0" right="0" top="0" bottom="0" header="0" footer="0"/>
  <pageSetup paperSize="9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补货模板</vt:lpstr>
      <vt:lpstr>14天销售</vt:lpstr>
      <vt:lpstr>7天销售</vt:lpstr>
      <vt:lpstr>30天销售</vt:lpstr>
      <vt:lpstr>亚马逊库存</vt:lpstr>
      <vt:lpstr>Sheet1</vt:lpstr>
      <vt:lpstr>Sheet4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-       辣子鸡</cp:lastModifiedBy>
  <dcterms:created xsi:type="dcterms:W3CDTF">2019-07-02T11:44:00Z</dcterms:created>
  <cp:lastPrinted>2020-09-14T05:48:00Z</cp:lastPrinted>
  <dcterms:modified xsi:type="dcterms:W3CDTF">2022-05-20T06:23:45Z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2A14AA03DADC49F98168E0B47B4C5F54</vt:lpwstr>
  </property>
  <property fmtid="{D5CDD505-2E9C-101B-9397-08002B2CF9AE}" pid="3" name="KSOProductBuildVer">
    <vt:lpwstr>2052-11.1.0.11744</vt:lpwstr>
  </property>
</Properties>
</file>