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1 (2)" sheetId="11" r:id="rId2"/>
    <sheet name="Sheet2" sheetId="2" r:id="rId3"/>
    <sheet name="Sheet3" sheetId="8" r:id="rId4"/>
  </sheets>
  <definedNames>
    <definedName name="_xlnm._FilterDatabase" localSheetId="0" hidden="1">Sheet1!$A$3:$Y$10</definedName>
    <definedName name="ExternalData_4" localSheetId="2" hidden="1">Sheet2!$C$8:$F$14</definedName>
    <definedName name="ExternalData_5" localSheetId="2" hidden="1">Sheet2!$C$1:$F$6</definedName>
    <definedName name="index" localSheetId="3">Sheet3!$A$1:$H$43</definedName>
    <definedName name="_xlnm._FilterDatabase" localSheetId="1" hidden="1">'Sheet1 (2)'!$A$3:$Y$10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hexi065</author>
  </authors>
  <commentList>
    <comment ref="C19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28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37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46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55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64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73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82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91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00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09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18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27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36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45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54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63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72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81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90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199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  <comment ref="C208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</commentList>
</comments>
</file>

<file path=xl/comments2.xml><?xml version="1.0" encoding="utf-8"?>
<comments xmlns="http://schemas.openxmlformats.org/spreadsheetml/2006/main">
  <authors>
    <author>hexi065</author>
  </authors>
  <commentList>
    <comment ref="C19" authorId="0">
      <text>
        <r>
          <rPr>
            <b/>
            <sz val="9"/>
            <rFont val="宋体"/>
            <charset val="0"/>
          </rPr>
          <t>批注:</t>
        </r>
        <r>
          <rPr>
            <sz val="9"/>
            <rFont val="宋体"/>
            <charset val="0"/>
          </rPr>
          <t xml:space="preserve">
hexi065:
土耳其
</t>
        </r>
      </text>
    </comment>
  </commentList>
</comments>
</file>

<file path=xl/connections.xml><?xml version="1.0" encoding="utf-8"?>
<connections xmlns="http://schemas.openxmlformats.org/spreadsheetml/2006/main">
  <connection id="1" name="连接" type="4" background="1" refreshedVersion="2" saveData="1">
    <webPr parsePre="1" consecutive="1" xl2000="1" url="https://www.boc.cn/sourcedb/whpj/index.html"/>
  </connection>
</connections>
</file>

<file path=xl/sharedStrings.xml><?xml version="1.0" encoding="utf-8"?>
<sst xmlns="http://schemas.openxmlformats.org/spreadsheetml/2006/main" count="1156" uniqueCount="379">
  <si>
    <t>头程（元/g）</t>
  </si>
  <si>
    <t>站点</t>
  </si>
  <si>
    <t>FBA
派送费</t>
  </si>
  <si>
    <t>佣金
15%</t>
  </si>
  <si>
    <t>计入VAT</t>
  </si>
  <si>
    <t>VAT
20%</t>
  </si>
  <si>
    <t>账面
入账</t>
  </si>
  <si>
    <t>计入广告</t>
  </si>
  <si>
    <t>广告预算</t>
  </si>
  <si>
    <t>实入账</t>
  </si>
  <si>
    <r>
      <rPr>
        <b/>
        <sz val="12"/>
        <color theme="0"/>
        <rFont val="Arial"/>
        <charset val="134"/>
      </rPr>
      <t>Amazon</t>
    </r>
    <r>
      <rPr>
        <b/>
        <sz val="12"/>
        <color theme="0"/>
        <rFont val="宋体"/>
        <charset val="134"/>
      </rPr>
      <t>销售价</t>
    </r>
  </si>
  <si>
    <t>头程
/RMB</t>
  </si>
  <si>
    <t>采购价
/RMB</t>
  </si>
  <si>
    <t>包裹规格</t>
  </si>
  <si>
    <t>利润
/RMB</t>
  </si>
  <si>
    <t>利润率/%</t>
  </si>
  <si>
    <t>产品图片</t>
  </si>
  <si>
    <t>1688链接</t>
  </si>
  <si>
    <t>亚马逊参考链接</t>
  </si>
  <si>
    <t>备注</t>
  </si>
  <si>
    <t>产品名称</t>
  </si>
  <si>
    <t>规格</t>
  </si>
  <si>
    <t>长
/cm</t>
  </si>
  <si>
    <t>宽
/cm</t>
  </si>
  <si>
    <t>高
/cm</t>
  </si>
  <si>
    <t>毛重
/g</t>
  </si>
  <si>
    <t>对应尺寸</t>
  </si>
  <si>
    <t>蝴蝶结</t>
  </si>
  <si>
    <t>件数/颜色/样式要标注好</t>
  </si>
  <si>
    <t>co.uk</t>
  </si>
  <si>
    <t>是</t>
  </si>
  <si>
    <t>de</t>
  </si>
  <si>
    <t>fr</t>
  </si>
  <si>
    <t>it</t>
  </si>
  <si>
    <t>es</t>
  </si>
  <si>
    <t>nl</t>
  </si>
  <si>
    <t>se</t>
  </si>
  <si>
    <t>pl</t>
  </si>
  <si>
    <t>魔术扳手</t>
  </si>
  <si>
    <t>否</t>
  </si>
  <si>
    <t>8寸</t>
  </si>
  <si>
    <t>包包肩带</t>
  </si>
  <si>
    <t>3.8cm</t>
  </si>
  <si>
    <t>5cm</t>
  </si>
  <si>
    <t>不锈钢水果榨汁机</t>
  </si>
  <si>
    <t>实例</t>
  </si>
  <si>
    <t>缩写</t>
  </si>
  <si>
    <t>美制或英制</t>
  </si>
  <si>
    <t>美制或英制2</t>
  </si>
  <si>
    <t>Column1</t>
  </si>
  <si>
    <t>公制</t>
  </si>
  <si>
    <t>亚马逊物流配送费</t>
  </si>
  <si>
    <t>商品类型和尺寸分段</t>
  </si>
  <si>
    <t>英国</t>
  </si>
  <si>
    <t>1 英寸 [in]</t>
  </si>
  <si>
    <t/>
  </si>
  <si>
    <t>箭头</t>
  </si>
  <si>
    <t>2.54 cm</t>
  </si>
  <si>
    <t>2022 年 3 月 31 日起生效</t>
  </si>
  <si>
    <t>欧洲配送网络2、3</t>
  </si>
  <si>
    <t>最大长度cm</t>
  </si>
  <si>
    <t>最大宽度cm</t>
  </si>
  <si>
    <r>
      <rPr>
        <b/>
        <sz val="11.5"/>
        <color rgb="FF111111"/>
        <rFont val="宋体"/>
        <charset val="134"/>
      </rPr>
      <t>最大高度</t>
    </r>
    <r>
      <rPr>
        <b/>
        <sz val="11.5"/>
        <color rgb="FF111111"/>
        <rFont val="Arial"/>
        <charset val="134"/>
      </rPr>
      <t>cm</t>
    </r>
  </si>
  <si>
    <r>
      <rPr>
        <b/>
        <sz val="11.5"/>
        <color rgb="FF111111"/>
        <rFont val="宋体"/>
        <charset val="134"/>
      </rPr>
      <t>最大发货重量</t>
    </r>
    <r>
      <rPr>
        <b/>
        <sz val="11.5"/>
        <color rgb="FF111111"/>
        <rFont val="Arial"/>
        <charset val="134"/>
      </rPr>
      <t>g</t>
    </r>
  </si>
  <si>
    <r>
      <rPr>
        <b/>
        <sz val="11.5"/>
        <color rgb="FF111111"/>
        <rFont val="宋体"/>
        <charset val="134"/>
      </rPr>
      <t>包装重量</t>
    </r>
    <r>
      <rPr>
        <b/>
        <sz val="11.5"/>
        <color rgb="FF111111"/>
        <rFont val="Arial"/>
        <charset val="134"/>
      </rPr>
      <t>g</t>
    </r>
  </si>
  <si>
    <t>德国</t>
  </si>
  <si>
    <t>1 英尺 [ft]</t>
  </si>
  <si>
    <t>12 英寸 [in]</t>
  </si>
  <si>
    <t>0.3048 m</t>
  </si>
  <si>
    <r>
      <rPr>
        <sz val="11"/>
        <color theme="1"/>
        <rFont val="宋体"/>
        <charset val="134"/>
        <scheme val="minor"/>
      </rPr>
      <t>s</t>
    </r>
    <r>
      <rPr>
        <sz val="11"/>
        <color theme="1"/>
        <rFont val="宋体"/>
        <charset val="134"/>
        <scheme val="minor"/>
      </rPr>
      <t>e</t>
    </r>
  </si>
  <si>
    <r>
      <rPr>
        <sz val="11"/>
        <color theme="1"/>
        <rFont val="宋体"/>
        <charset val="134"/>
        <scheme val="minor"/>
      </rPr>
      <t>p</t>
    </r>
    <r>
      <rPr>
        <sz val="11"/>
        <color theme="1"/>
        <rFont val="宋体"/>
        <charset val="134"/>
        <scheme val="minor"/>
      </rPr>
      <t>l</t>
    </r>
  </si>
  <si>
    <t>非英国(€)</t>
  </si>
  <si>
    <t>标准尺寸</t>
  </si>
  <si>
    <t>法国</t>
  </si>
  <si>
    <t>1 码 [yd]</t>
  </si>
  <si>
    <t>3 英尺 [ft]</t>
  </si>
  <si>
    <t>0.9144 m</t>
  </si>
  <si>
    <t>货币</t>
  </si>
  <si>
    <t>£</t>
  </si>
  <si>
    <t>€</t>
  </si>
  <si>
    <r>
      <rPr>
        <sz val="11"/>
        <color theme="1"/>
        <rFont val="宋体"/>
        <charset val="134"/>
        <scheme val="minor"/>
      </rPr>
      <t>k</t>
    </r>
    <r>
      <rPr>
        <sz val="11"/>
        <color theme="1"/>
        <rFont val="宋体"/>
        <charset val="134"/>
        <scheme val="minor"/>
      </rPr>
      <t>r</t>
    </r>
  </si>
  <si>
    <t>小号信封</t>
  </si>
  <si>
    <t>意大利</t>
  </si>
  <si>
    <t>1 英里</t>
  </si>
  <si>
    <t>1760 码 [yd]</t>
  </si>
  <si>
    <t>1.6093 km</t>
  </si>
  <si>
    <t>小号信封： 80 克</t>
  </si>
  <si>
    <t>标准信封</t>
  </si>
  <si>
    <t>西班牙</t>
  </si>
  <si>
    <t>1 国际海里</t>
  </si>
  <si>
    <t>2025.4 码 [yd]</t>
  </si>
  <si>
    <t>1.853 km</t>
  </si>
  <si>
    <t>标准信封： 60 克</t>
  </si>
  <si>
    <t>大号信封</t>
  </si>
  <si>
    <t>荷兰</t>
  </si>
  <si>
    <t>标准信封： 210 克</t>
  </si>
  <si>
    <t>标准包裹</t>
  </si>
  <si>
    <t>瑞典</t>
  </si>
  <si>
    <t>标准信封： 460 克</t>
  </si>
  <si>
    <t>波兰</t>
  </si>
  <si>
    <t>1 盎司 [oz]</t>
  </si>
  <si>
    <t>437.5 格令</t>
  </si>
  <si>
    <t>28.35 g</t>
  </si>
  <si>
    <t>大号信封： 960 克</t>
  </si>
  <si>
    <t>1 磅 [lb]</t>
  </si>
  <si>
    <t>16 oz</t>
  </si>
  <si>
    <t>0.4536 kg</t>
  </si>
  <si>
    <t>标准包裹： 150 克</t>
  </si>
  <si>
    <t>1 英石</t>
  </si>
  <si>
    <t>14 lb</t>
  </si>
  <si>
    <t>6.3503 kg</t>
  </si>
  <si>
    <t>标准包裹： 400 克</t>
  </si>
  <si>
    <t>1 英担 [cwt]</t>
  </si>
  <si>
    <t>112 lb</t>
  </si>
  <si>
    <t>50.802 kg</t>
  </si>
  <si>
    <t>标准包裹： 900 克</t>
  </si>
  <si>
    <t>1 短吨 （US）</t>
  </si>
  <si>
    <t>0.9072 t</t>
  </si>
  <si>
    <t>标准包裹： 1,400 克</t>
  </si>
  <si>
    <t>1 长吨 （UK）</t>
  </si>
  <si>
    <t>1.0160 t</t>
  </si>
  <si>
    <t>标准包裹： 1,900 克</t>
  </si>
  <si>
    <t>标准包裹： 2,900 克</t>
  </si>
  <si>
    <t>标准包裹： 3,900 克</t>
  </si>
  <si>
    <t>标准包裹： 4,900 克</t>
  </si>
  <si>
    <t>标准包裹： 5,900 克</t>
  </si>
  <si>
    <t>标准包裹： 6,900 克</t>
  </si>
  <si>
    <t>标准包裹： 7,900 克</t>
  </si>
  <si>
    <t>标准包裹： 8,900 克</t>
  </si>
  <si>
    <t>标准包裹： 9,900 克</t>
  </si>
  <si>
    <t>标准包裹： 10,900 克</t>
  </si>
  <si>
    <t>标准包裹： 11,900 克</t>
  </si>
  <si>
    <t>标准亚马逊物流配送费用（在亚马逊商城销售的每件商品）</t>
  </si>
  <si>
    <t>2021 年 6 月 8 日起生效</t>
  </si>
  <si>
    <t>本地和亚马逊物流欧洲整合服务1</t>
  </si>
  <si>
    <t> </t>
  </si>
  <si>
    <t>英国 (£)</t>
  </si>
  <si>
    <t>德国 (€)3</t>
  </si>
  <si>
    <t>法国 (€)</t>
  </si>
  <si>
    <t>意大利 (€)</t>
  </si>
  <si>
    <t>西班牙 (€)</t>
  </si>
  <si>
    <t>荷兰 (€)</t>
  </si>
  <si>
    <t>德国/法国/意大利/西班牙/荷兰 (€)</t>
  </si>
  <si>
    <t>瑞典（瑞典克朗）</t>
  </si>
  <si>
    <t>波兰（波兰兹罗提）</t>
  </si>
  <si>
    <t>£1.46</t>
  </si>
  <si>
    <t>£3.99</t>
  </si>
  <si>
    <t>45.94 瑞典克朗</t>
  </si>
  <si>
    <t>18.61 波兰兹罗提</t>
  </si>
  <si>
    <t>£1.56</t>
  </si>
  <si>
    <t>£4.16</t>
  </si>
  <si>
    <t>47.82 瑞典克朗</t>
  </si>
  <si>
    <t>19.38 波兰兹罗提</t>
  </si>
  <si>
    <t>£1.66</t>
  </si>
  <si>
    <t>£4.45</t>
  </si>
  <si>
    <t>51.21 瑞典克朗</t>
  </si>
  <si>
    <t>20.74 波兰兹罗提</t>
  </si>
  <si>
    <t>£1.77</t>
  </si>
  <si>
    <t>£4.52</t>
  </si>
  <si>
    <t>51.96 瑞典克朗</t>
  </si>
  <si>
    <t>21.05 波兰兹罗提</t>
  </si>
  <si>
    <t>£2.21</t>
  </si>
  <si>
    <t>£4.84</t>
  </si>
  <si>
    <t>55.65 瑞典克朗</t>
  </si>
  <si>
    <t>22.55 波兰兹罗提</t>
  </si>
  <si>
    <t>£2.19</t>
  </si>
  <si>
    <t>£4.86</t>
  </si>
  <si>
    <t>55.88 瑞典克朗</t>
  </si>
  <si>
    <t>22.64 波兰兹罗提</t>
  </si>
  <si>
    <t>£2.33</t>
  </si>
  <si>
    <t>£5.94</t>
  </si>
  <si>
    <t>68.25 瑞典克朗</t>
  </si>
  <si>
    <t>27.66 波兰兹罗提</t>
  </si>
  <si>
    <t>£2.50</t>
  </si>
  <si>
    <t>£7.00</t>
  </si>
  <si>
    <t>80.46 瑞典克朗</t>
  </si>
  <si>
    <t>32.60 波兰兹罗提</t>
  </si>
  <si>
    <t>£2.66</t>
  </si>
  <si>
    <t>£7.68</t>
  </si>
  <si>
    <t>88.37 瑞典克朗</t>
  </si>
  <si>
    <t>35.81 波兰兹罗提</t>
  </si>
  <si>
    <t>£2.91</t>
  </si>
  <si>
    <t>£8.80</t>
  </si>
  <si>
    <t>101.17 瑞典克朗</t>
  </si>
  <si>
    <t>40.99 波兰兹罗提</t>
  </si>
  <si>
    <t>£4.14</t>
  </si>
  <si>
    <t>£9.79</t>
  </si>
  <si>
    <t>112.64 瑞典克朗</t>
  </si>
  <si>
    <t>45.63 波兰兹罗提</t>
  </si>
  <si>
    <t>£4.53</t>
  </si>
  <si>
    <t>£11.52</t>
  </si>
  <si>
    <t>133.19 瑞典克朗</t>
  </si>
  <si>
    <t>53.96 波兰兹罗提</t>
  </si>
  <si>
    <t>£4.62</t>
  </si>
  <si>
    <t>£12.10</t>
  </si>
  <si>
    <t>139.83 瑞典克朗</t>
  </si>
  <si>
    <t>56.65 波兰兹罗提</t>
  </si>
  <si>
    <t>£5.12</t>
  </si>
  <si>
    <t>£5.28</t>
  </si>
  <si>
    <t>£5.42</t>
  </si>
  <si>
    <t>£12.79</t>
  </si>
  <si>
    <t>147.92 瑞典克朗</t>
  </si>
  <si>
    <t>59.93 波兰兹罗提</t>
  </si>
  <si>
    <t>£5.47</t>
  </si>
  <si>
    <t>£13.12</t>
  </si>
  <si>
    <t>151.66 瑞典克朗</t>
  </si>
  <si>
    <t>61.44 波兰兹罗提</t>
  </si>
  <si>
    <t>£6.23</t>
  </si>
  <si>
    <t>£15.70</t>
  </si>
  <si>
    <t>181.49 瑞典克朗</t>
  </si>
  <si>
    <t>73.53 波兰兹罗提</t>
  </si>
  <si>
    <t>£6.24</t>
  </si>
  <si>
    <t>£6.30</t>
  </si>
  <si>
    <t>小号大件： 760 克</t>
  </si>
  <si>
    <t>£11.57</t>
  </si>
  <si>
    <t>133.77 瑞典克朗</t>
  </si>
  <si>
    <t>54.19 波兰兹罗提</t>
  </si>
  <si>
    <t>小号大件： 1,010 克</t>
  </si>
  <si>
    <t>£4.64</t>
  </si>
  <si>
    <t>£11.94</t>
  </si>
  <si>
    <t>137.99 瑞典克朗</t>
  </si>
  <si>
    <t>55.90 波兰兹罗提</t>
  </si>
  <si>
    <t>小号大件： 1,260 克</t>
  </si>
  <si>
    <t>£5.01</t>
  </si>
  <si>
    <t>£11.98</t>
  </si>
  <si>
    <t>138.47 瑞典克朗</t>
  </si>
  <si>
    <t>56.10 波兰兹罗提</t>
  </si>
  <si>
    <t>小号大件： 1,510 克</t>
  </si>
  <si>
    <t>£5.10</t>
  </si>
  <si>
    <t>£12.04</t>
  </si>
  <si>
    <t>139.20 瑞典克朗</t>
  </si>
  <si>
    <t>56.40 波兰兹罗提</t>
  </si>
  <si>
    <t>小号大件： 1,760 克</t>
  </si>
  <si>
    <t>£5.16</t>
  </si>
  <si>
    <t>£12.07</t>
  </si>
  <si>
    <t>139.56 瑞典克朗</t>
  </si>
  <si>
    <t>56.55 波兰兹罗提</t>
  </si>
  <si>
    <t>标准大件： 760 克</t>
  </si>
  <si>
    <t>£5.07</t>
  </si>
  <si>
    <t>£13.56</t>
  </si>
  <si>
    <t>156.94 瑞典克朗</t>
  </si>
  <si>
    <t>63.58 波兰兹罗提</t>
  </si>
  <si>
    <t>标准大件： 1,760 克</t>
  </si>
  <si>
    <t>£5.40</t>
  </si>
  <si>
    <t>£13.96</t>
  </si>
  <si>
    <t>161.53 瑞典克朗</t>
  </si>
  <si>
    <t>65.45 波兰兹罗提</t>
  </si>
  <si>
    <t>标准大件： 2,760 克</t>
  </si>
  <si>
    <t>£5.51</t>
  </si>
  <si>
    <t>£14.91</t>
  </si>
  <si>
    <t>172.28 瑞典克朗</t>
  </si>
  <si>
    <t>69.80 波兰兹罗提</t>
  </si>
  <si>
    <t>标准大件： 3,760 克</t>
  </si>
  <si>
    <t>£5.54</t>
  </si>
  <si>
    <t>£14.99</t>
  </si>
  <si>
    <t>173.24 瑞典克朗</t>
  </si>
  <si>
    <t>70.19 波兰兹罗提</t>
  </si>
  <si>
    <t>标准大件： 4,760 克</t>
  </si>
  <si>
    <t>£5.58</t>
  </si>
  <si>
    <t>£15.10</t>
  </si>
  <si>
    <t>174.57 瑞典克朗</t>
  </si>
  <si>
    <t>70.72 波兰兹罗提</t>
  </si>
  <si>
    <t>标准大件： 5,760 克</t>
  </si>
  <si>
    <t>£6.59</t>
  </si>
  <si>
    <t>£16.57</t>
  </si>
  <si>
    <t>191.59 瑞典克朗</t>
  </si>
  <si>
    <t>77.62 波兰兹罗提</t>
  </si>
  <si>
    <t>标准大件： 6,760 克</t>
  </si>
  <si>
    <t>£6.65</t>
  </si>
  <si>
    <t>£16.71</t>
  </si>
  <si>
    <t>193.16 瑞典克朗</t>
  </si>
  <si>
    <t>78.25 波兰兹罗提</t>
  </si>
  <si>
    <t>标准大件： 7,760 克</t>
  </si>
  <si>
    <t>£6.68</t>
  </si>
  <si>
    <t>标准大件： 8,760 克</t>
  </si>
  <si>
    <t>标准大件： 9,760 克</t>
  </si>
  <si>
    <t>£6.71</t>
  </si>
  <si>
    <t>£17.08</t>
  </si>
  <si>
    <t>197.63 瑞典克朗</t>
  </si>
  <si>
    <t>80.07 波兰兹罗提</t>
  </si>
  <si>
    <t>标准大件： 14,760 克</t>
  </si>
  <si>
    <t>£7.14</t>
  </si>
  <si>
    <t>£18.12</t>
  </si>
  <si>
    <t>209.46 瑞典克朗</t>
  </si>
  <si>
    <t>84.87 波兰兹罗提</t>
  </si>
  <si>
    <t>标准大件： 19,760 克</t>
  </si>
  <si>
    <t>£7.50</t>
  </si>
  <si>
    <t>£19.71</t>
  </si>
  <si>
    <t>227.93 瑞典克朗</t>
  </si>
  <si>
    <t>92.35 波兰兹罗提</t>
  </si>
  <si>
    <t>标准大件： 24,760 克</t>
  </si>
  <si>
    <t>£8.30</t>
  </si>
  <si>
    <t>£21.13</t>
  </si>
  <si>
    <t>244.35 瑞典克朗</t>
  </si>
  <si>
    <t>99.00 波兰兹罗提</t>
  </si>
  <si>
    <t>标准大件： 29,760 克</t>
  </si>
  <si>
    <t>£21.44</t>
  </si>
  <si>
    <t>247.97 瑞典克朗</t>
  </si>
  <si>
    <t>100.47 波兰兹罗提</t>
  </si>
  <si>
    <t>大号大件： 4,760 克</t>
  </si>
  <si>
    <t>£8.43</t>
  </si>
  <si>
    <t>£20.97</t>
  </si>
  <si>
    <t>242.54 瑞典克朗</t>
  </si>
  <si>
    <t>98.26 波兰兹罗提</t>
  </si>
  <si>
    <t>大号大件： 9,760 克</t>
  </si>
  <si>
    <t>£10.16</t>
  </si>
  <si>
    <t>£25.12</t>
  </si>
  <si>
    <t>290.47 瑞典克朗</t>
  </si>
  <si>
    <t>117.68 波兰兹罗提</t>
  </si>
  <si>
    <t>大号大件： 14,760 克</t>
  </si>
  <si>
    <t>£10.74</t>
  </si>
  <si>
    <t>£26.70</t>
  </si>
  <si>
    <t>308.70 瑞典克朗</t>
  </si>
  <si>
    <t>125.07 波兰兹罗提</t>
  </si>
  <si>
    <t>大号大件： 19,760 克</t>
  </si>
  <si>
    <t>£11.25</t>
  </si>
  <si>
    <t>£29.44</t>
  </si>
  <si>
    <t>340.45 瑞典克朗</t>
  </si>
  <si>
    <t>137.93 波兰兹罗提</t>
  </si>
  <si>
    <t>大号大件： 24,760 克</t>
  </si>
  <si>
    <t>£12.25</t>
  </si>
  <si>
    <t>£31.94</t>
  </si>
  <si>
    <t>369.42 瑞典克朗</t>
  </si>
  <si>
    <t>149.67 波兰兹罗提</t>
  </si>
  <si>
    <t>大号大件： 31,500 克</t>
  </si>
  <si>
    <t>£12.28</t>
  </si>
  <si>
    <t>当前位置：首页 &gt; 金融市场 &gt; 外汇牌价</t>
  </si>
  <si>
    <t>网银登录</t>
  </si>
  <si>
    <t>个人客户网银登录</t>
  </si>
  <si>
    <t>个人贵宾网银登录</t>
  </si>
  <si>
    <t>企业客户网银登录</t>
  </si>
  <si>
    <t>中国银行外汇牌价</t>
  </si>
  <si>
    <t>打印</t>
  </si>
  <si>
    <t>起始时间：</t>
  </si>
  <si>
    <t>结束时间：</t>
  </si>
  <si>
    <t>牌价选择：</t>
  </si>
  <si>
    <t>【关于远离违法违规外汇交易的风险提示】</t>
  </si>
  <si>
    <t>货币名称</t>
  </si>
  <si>
    <t>现汇买入价</t>
  </si>
  <si>
    <t>现钞买入价</t>
  </si>
  <si>
    <t>现汇卖出价</t>
  </si>
  <si>
    <t>现钞卖出价</t>
  </si>
  <si>
    <t>中行折算价</t>
  </si>
  <si>
    <t>发布日期</t>
  </si>
  <si>
    <t>发布时间</t>
  </si>
  <si>
    <t>阿联酋迪拉姆</t>
  </si>
  <si>
    <t>2021.05.22 10:30:00</t>
  </si>
  <si>
    <t>澳大利亚元</t>
  </si>
  <si>
    <t>巴西里亚尔</t>
  </si>
  <si>
    <t>加拿大元</t>
  </si>
  <si>
    <t>瑞士法郎</t>
  </si>
  <si>
    <t>丹麦克朗</t>
  </si>
  <si>
    <t>欧元</t>
  </si>
  <si>
    <t>英镑</t>
  </si>
  <si>
    <t>港币</t>
  </si>
  <si>
    <t>印尼卢比</t>
  </si>
  <si>
    <t>印度卢比</t>
  </si>
  <si>
    <t>日元</t>
  </si>
  <si>
    <t>韩国元</t>
  </si>
  <si>
    <t>澳门元</t>
  </si>
  <si>
    <t>林吉特</t>
  </si>
  <si>
    <t>挪威克朗</t>
  </si>
  <si>
    <t>新西兰元</t>
  </si>
  <si>
    <t>菲律宾比索</t>
  </si>
  <si>
    <t>卢布</t>
  </si>
  <si>
    <t>沙特里亚尔</t>
  </si>
  <si>
    <t>瑞典克朗</t>
  </si>
  <si>
    <t>新加坡元</t>
  </si>
  <si>
    <t>泰国铢</t>
  </si>
  <si>
    <t>土耳其里拉</t>
  </si>
  <si>
    <t>新台币</t>
  </si>
  <si>
    <t>美元</t>
  </si>
  <si>
    <t>南非兰特</t>
  </si>
  <si>
    <t>共10页</t>
  </si>
  <si>
    <t>中国银行外汇牌价网页声明：</t>
  </si>
  <si>
    <t>1.本汇率表单位为100外币换算人民币，仅供参考，客户办理结/购汇业务时，应以中国银行网上银行、手机银行、智能柜台或网点柜台实际交易汇率为准，对使用该汇率表所导致的结果，中国银行不承担任何责任；</t>
  </si>
  <si>
    <t>2.未经中国银行许可，不得以商业目的转载本汇率表的全部或部分内容，如需引用相关数据，应注明来源于中国银行；</t>
  </si>
  <si>
    <t>3.中国银行外汇牌价业务系统于2011年10月30日进行了升级，本汇率表原有的"卖出价"细分为"现汇卖出价"和"现钞卖出价"，此前各货币的"卖出价"均显示在"现汇卖出价"项下。</t>
  </si>
  <si>
    <t>4.具体兑换币种以当地中国银行实际开办币种为准，客户可前往当地中国银行网点咨询或致电95566。</t>
  </si>
</sst>
</file>

<file path=xl/styles.xml><?xml version="1.0" encoding="utf-8"?>
<styleSheet xmlns="http://schemas.openxmlformats.org/spreadsheetml/2006/main">
  <numFmts count="39">
    <numFmt numFmtId="176" formatCode="[DBNum1][$-804]yyyy&quot;年&quot;m&quot;月&quot;"/>
    <numFmt numFmtId="6" formatCode="&quot;￥&quot;#,##0;[Red]&quot;￥&quot;\-#,##0"/>
    <numFmt numFmtId="23" formatCode="\$#,##0_);\(\$#,##0\)"/>
    <numFmt numFmtId="24" formatCode="\$#,##0_);[Red]\(\$#,##0\)"/>
    <numFmt numFmtId="7" formatCode="&quot;￥&quot;#,##0.00;&quot;￥&quot;\-#,##0.00"/>
    <numFmt numFmtId="177" formatCode="#\ ?/?"/>
    <numFmt numFmtId="178" formatCode="[$-804]aaa"/>
    <numFmt numFmtId="179" formatCode="[DBNum1]上午/下午h&quot;时&quot;mm&quot;分&quot;"/>
    <numFmt numFmtId="180" formatCode="[DBNum1][$-804]m&quot;月&quot;d&quot;日&quot;"/>
    <numFmt numFmtId="181" formatCode="0.00_ "/>
    <numFmt numFmtId="42" formatCode="_ &quot;￥&quot;* #,##0_ ;_ &quot;￥&quot;* \-#,##0_ ;_ &quot;￥&quot;* &quot;-&quot;_ ;_ @_ "/>
    <numFmt numFmtId="182" formatCode="[DBNum1][$-804]yyyy&quot;年&quot;m&quot;月&quot;d&quot;日&quot;"/>
    <numFmt numFmtId="183" formatCode="yyyy/m/d\ h:mm\ AM/PM"/>
    <numFmt numFmtId="25" formatCode="\$#,##0.00_);\(\$#,##0.00\)"/>
    <numFmt numFmtId="184" formatCode="mm/dd/yy"/>
    <numFmt numFmtId="185" formatCode="m/d"/>
    <numFmt numFmtId="186" formatCode="dd\-mmm\-yy"/>
    <numFmt numFmtId="187" formatCode="mmmmm"/>
    <numFmt numFmtId="188" formatCode="mmmmm\-yy"/>
    <numFmt numFmtId="189" formatCode="h:mm:ss\ AM/PM"/>
    <numFmt numFmtId="190" formatCode="h:mm\ AM/PM"/>
    <numFmt numFmtId="191" formatCode="#\ ??/??"/>
    <numFmt numFmtId="41" formatCode="_ * #,##0_ ;_ * \-#,##0_ ;_ * &quot;-&quot;_ ;_ @_ "/>
    <numFmt numFmtId="192" formatCode="[DBNum1]h&quot;时&quot;mm&quot;分&quot;"/>
    <numFmt numFmtId="193" formatCode="\¥#,##0.00;[Red]\¥\-#,##0.00"/>
    <numFmt numFmtId="194" formatCode="mmmm\-yy"/>
    <numFmt numFmtId="195" formatCode="\¥#,##0.00;\¥\-#,##0.00"/>
    <numFmt numFmtId="196" formatCode="[$€-2]\ #,##0.00;[Red]\-[$€-2]\ #,##0.00"/>
    <numFmt numFmtId="197" formatCode="#\ ??"/>
    <numFmt numFmtId="198" formatCode="yy/m/d"/>
    <numFmt numFmtId="26" formatCode="\$#,##0.00_);[Red]\(\$#,##0.00\)"/>
    <numFmt numFmtId="5" formatCode="&quot;￥&quot;#,##0;&quot;￥&quot;\-#,##0"/>
    <numFmt numFmtId="199" formatCode="0_);[Red]\(0\)"/>
    <numFmt numFmtId="8" formatCode="&quot;￥&quot;#,##0.00;[Red]&quot;￥&quot;\-#,##0.00"/>
    <numFmt numFmtId="44" formatCode="_ &quot;￥&quot;* #,##0.00_ ;_ &quot;￥&quot;* \-#,##0.00_ ;_ &quot;￥&quot;* &quot;-&quot;??_ ;_ @_ "/>
    <numFmt numFmtId="200" formatCode="\¥#,##0;\¥\-#,##0"/>
    <numFmt numFmtId="201" formatCode="[$-804]aaaa"/>
    <numFmt numFmtId="43" formatCode="_ * #,##0.00_ ;_ * \-#,##0.00_ ;_ * &quot;-&quot;??_ ;_ @_ "/>
    <numFmt numFmtId="202" formatCode="\¥#,##0;[Red]\¥\-#,##0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1.5"/>
      <color rgb="FF111111"/>
      <name val="宋体"/>
      <charset val="134"/>
    </font>
    <font>
      <b/>
      <sz val="11.25"/>
      <color rgb="FF474A4F"/>
      <name val="Arial"/>
      <charset val="134"/>
    </font>
    <font>
      <sz val="11.25"/>
      <color rgb="FF111111"/>
      <name val="Arial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2"/>
      <color theme="0"/>
      <name val="宋体"/>
      <charset val="134"/>
    </font>
    <font>
      <sz val="11"/>
      <color rgb="FF000000"/>
      <name val="宋体"/>
      <charset val="134"/>
    </font>
    <font>
      <b/>
      <sz val="12"/>
      <name val="Arial"/>
      <charset val="134"/>
    </font>
    <font>
      <b/>
      <sz val="11"/>
      <name val="宋体"/>
      <charset val="134"/>
      <scheme val="minor"/>
    </font>
    <font>
      <b/>
      <sz val="12"/>
      <color theme="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.5"/>
      <color rgb="FF111111"/>
      <name val="Arial"/>
      <charset val="134"/>
    </font>
    <font>
      <sz val="9"/>
      <name val="宋体"/>
      <charset val="0"/>
    </font>
    <font>
      <b/>
      <sz val="9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3" fillId="36" borderId="21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1" fillId="20" borderId="21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2" borderId="20" applyNumberFormat="0" applyAlignment="0" applyProtection="0">
      <alignment vertical="center"/>
    </xf>
    <xf numFmtId="0" fontId="27" fillId="20" borderId="19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6" fillId="0" borderId="15" applyNumberFormat="0" applyFill="0" applyAlignment="0" applyProtection="0">
      <alignment vertical="center"/>
    </xf>
  </cellStyleXfs>
  <cellXfs count="84">
    <xf numFmtId="0" fontId="0" fillId="0" borderId="0" xfId="0">
      <alignment vertical="center"/>
    </xf>
    <xf numFmtId="21" fontId="0" fillId="0" borderId="0" xfId="0" applyNumberFormat="1">
      <alignment vertical="center"/>
    </xf>
    <xf numFmtId="0" fontId="1" fillId="2" borderId="0" xfId="0" applyFont="1" applyFill="1">
      <alignment vertical="center"/>
    </xf>
    <xf numFmtId="0" fontId="0" fillId="0" borderId="0" xfId="0" applyAlignment="1"/>
    <xf numFmtId="0" fontId="0" fillId="0" borderId="0" xfId="0" applyFont="1" applyProtection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/>
    <xf numFmtId="0" fontId="2" fillId="0" borderId="0" xfId="0" applyFont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81" fontId="0" fillId="0" borderId="0" xfId="0" applyNumberFormat="1" applyProtection="1">
      <alignment vertical="center"/>
    </xf>
    <xf numFmtId="181" fontId="0" fillId="0" borderId="0" xfId="0" applyNumberFormat="1" applyFont="1" applyProtection="1">
      <alignment vertical="center"/>
    </xf>
    <xf numFmtId="3" fontId="0" fillId="0" borderId="0" xfId="0" applyNumberFormat="1">
      <alignment vertical="center"/>
    </xf>
    <xf numFmtId="0" fontId="3" fillId="3" borderId="1" xfId="0" applyFont="1" applyFill="1" applyBorder="1" applyAlignment="1" applyProtection="1">
      <alignment horizontal="left" vertical="top" wrapText="1"/>
    </xf>
    <xf numFmtId="0" fontId="4" fillId="4" borderId="1" xfId="0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 applyProtection="1">
      <alignment horizontal="left" vertical="top" wrapText="1"/>
    </xf>
    <xf numFmtId="3" fontId="5" fillId="4" borderId="1" xfId="0" applyNumberFormat="1" applyFont="1" applyFill="1" applyBorder="1" applyAlignment="1" applyProtection="1">
      <alignment horizontal="left" vertical="top" wrapText="1"/>
    </xf>
    <xf numFmtId="196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99" fontId="0" fillId="0" borderId="0" xfId="0" applyNumberForma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81" fontId="6" fillId="2" borderId="4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81" fontId="6" fillId="2" borderId="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81" fontId="11" fillId="2" borderId="4" xfId="0" applyNumberFormat="1" applyFont="1" applyFill="1" applyBorder="1" applyAlignment="1">
      <alignment horizontal="center" vertical="center" wrapText="1"/>
    </xf>
    <xf numFmtId="26" fontId="9" fillId="5" borderId="4" xfId="0" applyNumberFormat="1" applyFont="1" applyFill="1" applyBorder="1" applyAlignment="1">
      <alignment horizontal="center" vertical="center" wrapText="1"/>
    </xf>
    <xf numFmtId="181" fontId="11" fillId="2" borderId="6" xfId="0" applyNumberFormat="1" applyFont="1" applyFill="1" applyBorder="1" applyAlignment="1">
      <alignment horizontal="center" vertical="center" wrapText="1"/>
    </xf>
    <xf numFmtId="26" fontId="9" fillId="5" borderId="6" xfId="0" applyNumberFormat="1" applyFont="1" applyFill="1" applyBorder="1" applyAlignment="1">
      <alignment horizontal="center" vertical="center" wrapText="1"/>
    </xf>
    <xf numFmtId="181" fontId="0" fillId="0" borderId="2" xfId="0" applyNumberFormat="1" applyBorder="1" applyAlignment="1">
      <alignment horizontal="center" vertical="center"/>
    </xf>
    <xf numFmtId="181" fontId="0" fillId="0" borderId="2" xfId="0" applyNumberFormat="1" applyFont="1" applyBorder="1" applyAlignment="1">
      <alignment horizontal="center" vertical="center"/>
    </xf>
    <xf numFmtId="181" fontId="12" fillId="2" borderId="4" xfId="0" applyNumberFormat="1" applyFont="1" applyFill="1" applyBorder="1" applyAlignment="1">
      <alignment horizontal="center" vertical="center" wrapText="1"/>
    </xf>
    <xf numFmtId="26" fontId="13" fillId="5" borderId="4" xfId="0" applyNumberFormat="1" applyFont="1" applyFill="1" applyBorder="1" applyAlignment="1">
      <alignment horizontal="center" vertical="center" wrapText="1"/>
    </xf>
    <xf numFmtId="181" fontId="12" fillId="2" borderId="6" xfId="0" applyNumberFormat="1" applyFont="1" applyFill="1" applyBorder="1" applyAlignment="1">
      <alignment horizontal="center" vertical="center" wrapText="1"/>
    </xf>
    <xf numFmtId="26" fontId="13" fillId="5" borderId="6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6" fontId="6" fillId="2" borderId="11" xfId="0" applyNumberFormat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26" fontId="6" fillId="2" borderId="14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9" fillId="5" borderId="13" xfId="0" applyFont="1" applyFill="1" applyBorder="1" applyAlignment="1">
      <alignment horizontal="left" vertical="center" wrapText="1"/>
    </xf>
    <xf numFmtId="199" fontId="9" fillId="7" borderId="4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199" fontId="9" fillId="7" borderId="6" xfId="0" applyNumberFormat="1" applyFont="1" applyFill="1" applyBorder="1" applyAlignment="1">
      <alignment horizontal="center" vertical="center" wrapText="1"/>
    </xf>
    <xf numFmtId="199" fontId="0" fillId="0" borderId="2" xfId="0" applyNumberFormat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14" fillId="0" borderId="0" xfId="42" applyFont="1" applyAlignment="1">
      <alignment vertical="center" wrapText="1"/>
    </xf>
    <xf numFmtId="0" fontId="0" fillId="0" borderId="2" xfId="0" applyBorder="1" applyAlignment="1">
      <alignment horizontal="fill" vertical="center" wrapText="1"/>
    </xf>
    <xf numFmtId="0" fontId="15" fillId="0" borderId="0" xfId="0" applyFont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18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9">
    <dxf>
      <font>
        <color theme="0"/>
      </font>
      <fill>
        <patternFill patternType="solid">
          <bgColor rgb="FFC00000"/>
        </patternFill>
      </fill>
    </dxf>
    <dxf>
      <numFmt numFmtId="22" formatCode="yyyy/m/d\ h:mm"/>
    </dxf>
    <dxf>
      <numFmt numFmtId="22" formatCode="yyyy/m/d\ h:mm"/>
    </dxf>
    <dxf>
      <numFmt numFmtId="22" formatCode="yyyy/m/d\ h:mm"/>
    </dxf>
    <dxf>
      <numFmt numFmtId="22" formatCode="yyyy/m/d\ h:mm"/>
    </dxf>
    <dxf>
      <numFmt numFmtId="22" formatCode="yyyy/m/d\ h:mm"/>
    </dxf>
    <dxf>
      <numFmt numFmtId="22" formatCode="yyyy/m/d\ h:mm"/>
    </dxf>
    <dxf>
      <numFmt numFmtId="22" formatCode="yyyy/m/d\ h:mm"/>
    </dxf>
    <dxf>
      <numFmt numFmtId="22" formatCode="yyyy/m/d\ h:mm"/>
    </dxf>
  </dxfs>
  <tableStyles count="0" defaultTableStyle="TableStyleMedium2" defaultPivotStyle="PivotStyleLight16"/>
  <colors>
    <mruColors>
      <color rgb="00FF6699"/>
      <color rgb="00FF0066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onnections" Target="connections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index" connectionId="1" autoFormatId="16" applyNumberFormats="0" applyBorderFormats="0" applyFontFormats="1" applyPatternFormats="1" applyAlignmentFormats="0" applyWidthHeightFormats="0">
  <queryTableRefresh preserveSortFilterLayout="0" nextId="9">
    <queryTableFields count="8">
      <queryTableField id="1" dataBound="0"/>
      <queryTableField id="2" dataBound="0"/>
      <queryTableField id="3" dataBound="0"/>
      <queryTableField id="4" dataBound="0"/>
      <queryTableField id="5" dataBound="0"/>
      <queryTableField id="6" dataBound="0"/>
      <queryTableField id="7" dataBound="0"/>
      <queryTableField id="8" dataBound="0"/>
    </queryTableFields>
  </queryTableRefresh>
</queryTable>
</file>

<file path=xl/tables/table1.xml><?xml version="1.0" encoding="utf-8"?>
<table xmlns="http://schemas.openxmlformats.org/spreadsheetml/2006/main" id="4" name="Table_17" displayName="Table_17" ref="C1:F6" totalsRowShown="0">
  <autoFilter xmlns:etc="http://www.wps.cn/officeDocument/2017/etCustomData" ref="C1:F6" etc:filterBottomFollowUsedRange="0"/>
  <tableColumns count="4">
    <tableColumn id="1" name="美制或英制" dataDxfId="1"/>
    <tableColumn id="2" name="美制或英制2" dataDxfId="2"/>
    <tableColumn id="3" name="Column1" dataDxfId="3"/>
    <tableColumn id="4" name="公制" dataDxf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5" name="Table_78" displayName="Table_78" ref="C8:F14" totalsRowShown="0">
  <autoFilter xmlns:etc="http://www.wps.cn/officeDocument/2017/etCustomData" ref="C8:F14" etc:filterBottomFollowUsedRange="0"/>
  <tableColumns count="4">
    <tableColumn id="1" name="美制或英制" dataDxfId="5"/>
    <tableColumn id="2" name="美制或英制2" dataDxfId="6"/>
    <tableColumn id="3" name="Column1" dataDxfId="7"/>
    <tableColumn id="4" name="公制" dataDxf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9"/>
  <sheetViews>
    <sheetView tabSelected="1" workbookViewId="0">
      <pane ySplit="2" topLeftCell="A3" activePane="bottomLeft" state="frozen"/>
      <selection/>
      <selection pane="bottomLeft" activeCell="A3" sqref="A3:A10"/>
    </sheetView>
  </sheetViews>
  <sheetFormatPr defaultColWidth="9" defaultRowHeight="13.5"/>
  <cols>
    <col min="1" max="1" width="13.25" style="22" customWidth="1"/>
    <col min="2" max="2" width="14.25" style="23" customWidth="1"/>
    <col min="3" max="3" width="6.5" style="24" customWidth="1"/>
    <col min="4" max="4" width="7.5" style="25" customWidth="1"/>
    <col min="5" max="5" width="6.5" style="25" customWidth="1"/>
    <col min="6" max="6" width="6.125" style="25" customWidth="1"/>
    <col min="7" max="7" width="6.5" style="25" customWidth="1"/>
    <col min="8" max="8" width="8.5" style="24" customWidth="1"/>
    <col min="9" max="9" width="13.75" style="25" customWidth="1"/>
    <col min="10" max="10" width="9" style="25" customWidth="1"/>
    <col min="11" max="11" width="8.5" style="25" customWidth="1"/>
    <col min="12" max="12" width="9.625" style="24" customWidth="1"/>
    <col min="13" max="13" width="8.96666666666667" style="25" customWidth="1"/>
    <col min="14" max="14" width="8.375" style="24" customWidth="1"/>
    <col min="15" max="17" width="5.25" style="24" customWidth="1"/>
    <col min="18" max="18" width="6.125" style="24" customWidth="1"/>
    <col min="19" max="19" width="18.9666666666667" style="26" customWidth="1"/>
    <col min="20" max="20" width="6.5" style="27" customWidth="1"/>
    <col min="21" max="21" width="8.08333333333333" style="27" customWidth="1"/>
    <col min="22" max="22" width="41.025" customWidth="1"/>
    <col min="23" max="24" width="14.7083333333333" customWidth="1"/>
    <col min="25" max="25" width="22.2083333333333" style="6" customWidth="1"/>
  </cols>
  <sheetData>
    <row r="1" ht="14.25" customHeight="1" spans="1:25">
      <c r="A1" s="28" t="s">
        <v>0</v>
      </c>
      <c r="B1" s="29">
        <v>0.038</v>
      </c>
      <c r="C1" s="30" t="s">
        <v>1</v>
      </c>
      <c r="D1" s="31" t="s">
        <v>2</v>
      </c>
      <c r="E1" s="31" t="s">
        <v>3</v>
      </c>
      <c r="F1" s="31" t="s">
        <v>4</v>
      </c>
      <c r="G1" s="48" t="s">
        <v>5</v>
      </c>
      <c r="H1" s="49" t="s">
        <v>6</v>
      </c>
      <c r="I1" s="31" t="s">
        <v>7</v>
      </c>
      <c r="J1" s="54" t="s">
        <v>8</v>
      </c>
      <c r="K1" s="55" t="s">
        <v>9</v>
      </c>
      <c r="L1" s="55" t="s">
        <v>10</v>
      </c>
      <c r="M1" s="31" t="s">
        <v>11</v>
      </c>
      <c r="N1" s="60" t="s">
        <v>12</v>
      </c>
      <c r="O1" s="61" t="s">
        <v>13</v>
      </c>
      <c r="P1" s="62"/>
      <c r="Q1" s="62"/>
      <c r="R1" s="62"/>
      <c r="S1" s="65"/>
      <c r="T1" s="66" t="s">
        <v>14</v>
      </c>
      <c r="U1" s="66" t="s">
        <v>15</v>
      </c>
      <c r="V1" s="71" t="s">
        <v>16</v>
      </c>
      <c r="W1" s="71" t="s">
        <v>17</v>
      </c>
      <c r="X1" s="71" t="s">
        <v>18</v>
      </c>
      <c r="Y1" s="71" t="s">
        <v>19</v>
      </c>
    </row>
    <row r="2" s="21" customFormat="1" ht="28.5" spans="1:25">
      <c r="A2" s="32" t="s">
        <v>20</v>
      </c>
      <c r="B2" s="33" t="s">
        <v>21</v>
      </c>
      <c r="C2" s="34"/>
      <c r="D2" s="35"/>
      <c r="E2" s="35"/>
      <c r="F2" s="35"/>
      <c r="G2" s="50"/>
      <c r="H2" s="51"/>
      <c r="I2" s="35"/>
      <c r="J2" s="56"/>
      <c r="K2" s="57"/>
      <c r="L2" s="57"/>
      <c r="M2" s="35"/>
      <c r="N2" s="63"/>
      <c r="O2" s="32" t="s">
        <v>22</v>
      </c>
      <c r="P2" s="32" t="s">
        <v>23</v>
      </c>
      <c r="Q2" s="32" t="s">
        <v>24</v>
      </c>
      <c r="R2" s="32" t="s">
        <v>25</v>
      </c>
      <c r="S2" s="67" t="s">
        <v>26</v>
      </c>
      <c r="T2" s="68"/>
      <c r="U2" s="68"/>
      <c r="V2" s="72"/>
      <c r="W2" s="72"/>
      <c r="X2" s="72"/>
      <c r="Y2" s="72"/>
    </row>
    <row r="3" hidden="1" customHeight="1" spans="1:20">
      <c r="A3" s="36" t="s">
        <v>27</v>
      </c>
      <c r="B3" s="37" t="s">
        <v>28</v>
      </c>
      <c r="C3" s="38" t="s">
        <v>29</v>
      </c>
      <c r="D3" s="39">
        <f>IF(S3=Sheet2!$W$4,INDEX(Sheet2!$J$5:$Q$5,1,MATCH(Sheet1!C3,Sheet2!$J$3:$Q$3,0)),IF(S3=Sheet2!$W$5,INDEX(Sheet2!$J$6:$Q$8,MATCH(Sheet1!R3,Sheet2!$H$6:$H$8,1),MATCH(Sheet1!C3,Sheet2!$J$3:$Q$3,0)),IF(S3=Sheet2!$W$6,INDEX(Sheet2!$J$9:$Q$9,1,MATCH(Sheet1!C3,Sheet2!$J$3:$Q$3,0)),IF(S3=Sheet2!$W$7,INDEX(Sheet2!$J$10:$Q$24,MATCH(Sheet1!R3,Sheet2!$H$10:$H$24,1),MATCH(Sheet1!C3,Sheet2!$J$3:$Q$3,0)),"ERR COUNTRY!"))))</f>
        <v>1.79</v>
      </c>
      <c r="E3" s="52">
        <f t="shared" ref="E3:E18" si="0">L3*0.15</f>
        <v>1.4985</v>
      </c>
      <c r="F3" s="53" t="s">
        <v>30</v>
      </c>
      <c r="G3" s="52">
        <f t="shared" ref="G3:G26" si="1">L3-L3/(1+20%)</f>
        <v>1.665</v>
      </c>
      <c r="H3" s="52">
        <f t="shared" ref="H3:H26" si="2">IF(F3="是",IF(I3="是",L3-SUM(D3,E3,G3,J3),L3-SUM(D3,E3,G3)),IF(I3="是",L3-SUM(D3,E3,J3),L3-SUM(D3,E3)))</f>
        <v>3.0385</v>
      </c>
      <c r="I3" s="52" t="s">
        <v>30</v>
      </c>
      <c r="J3" s="52">
        <f>IF(OR(C3=Sheet2!$A$10),0,L3*0.2)</f>
        <v>1.998</v>
      </c>
      <c r="K3" s="52">
        <f t="shared" ref="K3:K26" si="3">H3+J3</f>
        <v>5.0365</v>
      </c>
      <c r="L3" s="58">
        <v>9.99</v>
      </c>
      <c r="M3" s="52">
        <f>R3*$B$1</f>
        <v>3.8</v>
      </c>
      <c r="N3" s="24">
        <v>5.5</v>
      </c>
      <c r="O3" s="24">
        <v>12</v>
      </c>
      <c r="P3" s="24">
        <v>10</v>
      </c>
      <c r="Q3" s="24">
        <v>1.5</v>
      </c>
      <c r="R3" s="24">
        <v>100</v>
      </c>
      <c r="S3" s="26" t="str">
        <f>IF(Sheet1!R3+Sheet2!$AB$7&gt;=Sheet2!$AA$7,"超出《标准包裹》重量",IF(AND(Sheet1!O3&lt;Sheet2!$X$7,Sheet1!P3&lt;Sheet2!$Y$7,Sheet1!Q3&lt;Sheet2!$Z$7),IF(Sheet1!R3+Sheet2!$AB$6&gt;=Sheet2!$AA$6,Sheet2!$W$7,IF(AND(Sheet1!O3&lt;Sheet2!$X$6,Sheet1!P3&lt;Sheet2!$Y$6,Sheet1!Q3&lt;Sheet2!$Z$6),IF(Sheet1!R3+Sheet2!$AB$5&gt;=Sheet2!$AA$5,Sheet2!$W$6,IF(AND(Sheet1!O3&lt;Sheet2!$X$5,Sheet1!P3&lt;Sheet2!$Y$5,Sheet1!Q3&lt;Sheet2!$Z$5),IF(Sheet1!R3+Sheet2!$AB$4&gt;=Sheet2!$AA$4,Sheet2!$W$5,IF(AND(Sheet1!O3&lt;Sheet2!$X$4,Sheet1!P3&lt;Sheet2!$Y$4,Sheet1!Q3&lt;Sheet2!$Z$4),Sheet2!$W$4,Sheet2!$W$5)),Sheet2!$W$6)),Sheet2!$W$7)),"超出《标准包裹》尺寸"))</f>
        <v>标准信封</v>
      </c>
      <c r="T3" s="69">
        <f>IF(C3=Sheet2!$A$2,H3*VLOOKUP("英镑",Sheet3!$A$10:F$36,2,0)/100-Sheet1!N3-Sheet1!M3,IF(OR(C3=Sheet2!$A$3,C3=Sheet2!$A$4,C3=Sheet2!$A$5,C3=Sheet2!$A$6,C3=Sheet2!$A$7),H3*VLOOKUP("欧元",Sheet3!$A$10:F$36,2,0)/100-Sheet1!N3-Sheet1!M3,IF(C3=Sheet2!$A$8,H3*VLOOKUP("瑞典克朗",Sheet3!$A$10:F$36,2,0)/100-Sheet1!N3-Sheet1!M3,IF(C3=Sheet2!$A$9,H3*173.29/100-Sheet1!N3-Sheet1!M3,"ERR COUNTRY!"))))</f>
        <v>18.2658797</v>
      </c>
    </row>
    <row r="4" hidden="1" customHeight="1" spans="1:20">
      <c r="A4" s="40"/>
      <c r="B4" s="41"/>
      <c r="C4" s="38" t="s">
        <v>31</v>
      </c>
      <c r="D4" s="39">
        <f>IF(S4=Sheet2!$W$4,INDEX(Sheet2!$J$5:$Q$5,1,MATCH(Sheet1!C4,Sheet2!$J$3:$Q$3,0)),IF(S4=Sheet2!$W$5,INDEX(Sheet2!$J$6:$Q$8,MATCH(Sheet1!R4,Sheet2!$H$6:$H$8,1),MATCH(Sheet1!C4,Sheet2!$J$3:$Q$3,0)),IF(S4=Sheet2!$W$6,INDEX(Sheet2!$J$9:$Q$9,1,MATCH(Sheet1!C4,Sheet2!$J$3:$Q$3,0)),IF(S4=Sheet2!$W$7,INDEX(Sheet2!$J$10:$Q$24,MATCH(Sheet1!R4,Sheet2!$H$10:$H$24,1),MATCH(Sheet1!C4,Sheet2!$J$3:$Q$3,0)),"ERR COUNTRY!"))))</f>
        <v>2.37</v>
      </c>
      <c r="E4" s="52">
        <f t="shared" si="0"/>
        <v>1.4985</v>
      </c>
      <c r="F4" s="53" t="s">
        <v>30</v>
      </c>
      <c r="G4" s="52">
        <f t="shared" si="1"/>
        <v>1.665</v>
      </c>
      <c r="H4" s="52">
        <f t="shared" si="2"/>
        <v>2.4585</v>
      </c>
      <c r="I4" s="52" t="s">
        <v>30</v>
      </c>
      <c r="J4" s="52">
        <f>IF(OR(C4=Sheet2!$A$10),0,L4*0.2)</f>
        <v>1.998</v>
      </c>
      <c r="K4" s="52">
        <f t="shared" si="3"/>
        <v>4.4565</v>
      </c>
      <c r="L4" s="58">
        <v>9.99</v>
      </c>
      <c r="M4" s="52">
        <f>R4*$B$1</f>
        <v>3.8</v>
      </c>
      <c r="N4" s="24">
        <v>5.5</v>
      </c>
      <c r="O4" s="24">
        <v>12</v>
      </c>
      <c r="P4" s="24">
        <v>10</v>
      </c>
      <c r="Q4" s="24">
        <v>1.5</v>
      </c>
      <c r="R4" s="24">
        <v>100</v>
      </c>
      <c r="S4" s="26" t="str">
        <f>IF(Sheet1!R4+Sheet2!$AB$7&gt;=Sheet2!$AA$7,"超出《标准包裹》重量",IF(AND(Sheet1!O4&lt;Sheet2!$X$7,Sheet1!P4&lt;Sheet2!$Y$7,Sheet1!Q4&lt;Sheet2!$Z$7),IF(Sheet1!R4+Sheet2!$AB$6&gt;=Sheet2!$AA$6,Sheet2!$W$7,IF(AND(Sheet1!O4&lt;Sheet2!$X$6,Sheet1!P4&lt;Sheet2!$Y$6,Sheet1!Q4&lt;Sheet2!$Z$6),IF(Sheet1!R4+Sheet2!$AB$5&gt;=Sheet2!$AA$5,Sheet2!$W$6,IF(AND(Sheet1!O4&lt;Sheet2!$X$5,Sheet1!P4&lt;Sheet2!$Y$5,Sheet1!Q4&lt;Sheet2!$Z$5),IF(Sheet1!R4+Sheet2!$AB$4&gt;=Sheet2!$AA$4,Sheet2!$W$5,IF(AND(Sheet1!O4&lt;Sheet2!$X$4,Sheet1!P4&lt;Sheet2!$Y$4,Sheet1!Q4&lt;Sheet2!$Z$4),Sheet2!$W$4,Sheet2!$W$5)),Sheet2!$W$6)),Sheet2!$W$7)),"超出《标准包裹》尺寸"))</f>
        <v>标准信封</v>
      </c>
      <c r="T4" s="69">
        <f>IF(C4=Sheet2!$A$2,H4*VLOOKUP("英镑",Sheet3!$A$10:F$36,2,0)/100-Sheet1!N4-Sheet1!M4,IF(OR(C4=Sheet2!$A$3,C4=Sheet2!$A$4,C4=Sheet2!$A$5,C4=Sheet2!$A$6,C4=Sheet2!$A$7),H4*VLOOKUP("欧元",Sheet3!$A$10:F$36,2,0)/100-Sheet1!N4-Sheet1!M4,IF(C4=Sheet2!$A$8,H4*VLOOKUP("瑞典克朗",Sheet3!$A$10:F$36,2,0)/100-Sheet1!N4-Sheet1!M4,IF(C4=Sheet2!$A$9,H4*173.29/100-Sheet1!N4-Sheet1!M4,"ERR COUNTRY!"))))</f>
        <v>9.89867235000001</v>
      </c>
    </row>
    <row r="5" hidden="1" customHeight="1" spans="1:20">
      <c r="A5" s="40"/>
      <c r="B5" s="41"/>
      <c r="C5" s="38" t="s">
        <v>32</v>
      </c>
      <c r="D5" s="39">
        <f>IF(S5=Sheet2!$W$4,INDEX(Sheet2!$J$5:$Q$5,1,MATCH(Sheet1!C5,Sheet2!$J$3:$Q$3,0)),IF(S5=Sheet2!$W$5,INDEX(Sheet2!$J$6:$Q$8,MATCH(Sheet1!R5,Sheet2!$H$6:$H$8,1),MATCH(Sheet1!C5,Sheet2!$J$3:$Q$3,0)),IF(S5=Sheet2!$W$6,INDEX(Sheet2!$J$9:$Q$9,1,MATCH(Sheet1!C5,Sheet2!$J$3:$Q$3,0)),IF(S5=Sheet2!$W$7,INDEX(Sheet2!$J$10:$Q$24,MATCH(Sheet1!R5,Sheet2!$H$10:$H$24,1),MATCH(Sheet1!C5,Sheet2!$J$3:$Q$3,0)),"ERR COUNTRY!"))))</f>
        <v>3.13</v>
      </c>
      <c r="E5" s="52">
        <f t="shared" si="0"/>
        <v>1.4985</v>
      </c>
      <c r="F5" s="53" t="s">
        <v>30</v>
      </c>
      <c r="G5" s="52">
        <f t="shared" si="1"/>
        <v>1.665</v>
      </c>
      <c r="H5" s="52">
        <f t="shared" si="2"/>
        <v>1.6985</v>
      </c>
      <c r="I5" s="52" t="s">
        <v>30</v>
      </c>
      <c r="J5" s="52">
        <f>IF(OR(C5=Sheet2!$A$10),0,L5*0.2)</f>
        <v>1.998</v>
      </c>
      <c r="K5" s="52">
        <f t="shared" si="3"/>
        <v>3.6965</v>
      </c>
      <c r="L5" s="58">
        <v>9.99</v>
      </c>
      <c r="M5" s="52">
        <f>R5*$B$1</f>
        <v>3.8</v>
      </c>
      <c r="N5" s="24">
        <v>5.5</v>
      </c>
      <c r="O5" s="24">
        <v>12</v>
      </c>
      <c r="P5" s="24">
        <v>10</v>
      </c>
      <c r="Q5" s="24">
        <v>1.5</v>
      </c>
      <c r="R5" s="24">
        <v>100</v>
      </c>
      <c r="S5" s="26" t="str">
        <f>IF(Sheet1!R5+Sheet2!$AB$7&gt;=Sheet2!$AA$7,"超出《标准包裹》重量",IF(AND(Sheet1!O5&lt;Sheet2!$X$7,Sheet1!P5&lt;Sheet2!$Y$7,Sheet1!Q5&lt;Sheet2!$Z$7),IF(Sheet1!R5+Sheet2!$AB$6&gt;=Sheet2!$AA$6,Sheet2!$W$7,IF(AND(Sheet1!O5&lt;Sheet2!$X$6,Sheet1!P5&lt;Sheet2!$Y$6,Sheet1!Q5&lt;Sheet2!$Z$6),IF(Sheet1!R5+Sheet2!$AB$5&gt;=Sheet2!$AA$5,Sheet2!$W$6,IF(AND(Sheet1!O5&lt;Sheet2!$X$5,Sheet1!P5&lt;Sheet2!$Y$5,Sheet1!Q5&lt;Sheet2!$Z$5),IF(Sheet1!R5+Sheet2!$AB$4&gt;=Sheet2!$AA$4,Sheet2!$W$5,IF(AND(Sheet1!O5&lt;Sheet2!$X$4,Sheet1!P5&lt;Sheet2!$Y$4,Sheet1!Q5&lt;Sheet2!$Z$4),Sheet2!$W$4,Sheet2!$W$5)),Sheet2!$W$6)),Sheet2!$W$7)),"超出《标准包裹》尺寸"))</f>
        <v>标准信封</v>
      </c>
      <c r="T5" s="69">
        <f>IF(C5=Sheet2!$A$2,H5*VLOOKUP("英镑",Sheet3!$A$10:F$36,2,0)/100-Sheet1!N5-Sheet1!M5,IF(OR(C5=Sheet2!$A$3,C5=Sheet2!$A$4,C5=Sheet2!$A$5,C5=Sheet2!$A$6,C5=Sheet2!$A$7),H5*VLOOKUP("欧元",Sheet3!$A$10:F$36,2,0)/100-Sheet1!N5-Sheet1!M5,IF(C5=Sheet2!$A$8,H5*VLOOKUP("瑞典克朗",Sheet3!$A$10:F$36,2,0)/100-Sheet1!N5-Sheet1!M5,IF(C5=Sheet2!$A$9,H5*173.29/100-Sheet1!N5-Sheet1!M5,"ERR COUNTRY!"))))</f>
        <v>3.96375635000001</v>
      </c>
    </row>
    <row r="6" hidden="1" customHeight="1" spans="1:20">
      <c r="A6" s="40"/>
      <c r="B6" s="41"/>
      <c r="C6" s="38" t="s">
        <v>33</v>
      </c>
      <c r="D6" s="39">
        <f>IF(S6=Sheet2!$W$4,INDEX(Sheet2!$J$5:$Q$5,1,MATCH(Sheet1!C6,Sheet2!$J$3:$Q$3,0)),IF(S6=Sheet2!$W$5,INDEX(Sheet2!$J$6:$Q$8,MATCH(Sheet1!R6,Sheet2!$H$6:$H$8,1),MATCH(Sheet1!C6,Sheet2!$J$3:$Q$3,0)),IF(S6=Sheet2!$W$6,INDEX(Sheet2!$J$9:$Q$9,1,MATCH(Sheet1!C6,Sheet2!$J$3:$Q$3,0)),IF(S6=Sheet2!$W$7,INDEX(Sheet2!$J$10:$Q$24,MATCH(Sheet1!R6,Sheet2!$H$10:$H$24,1),MATCH(Sheet1!C6,Sheet2!$J$3:$Q$3,0)),"ERR COUNTRY!"))))</f>
        <v>3.13</v>
      </c>
      <c r="E6" s="52">
        <f t="shared" si="0"/>
        <v>1.4985</v>
      </c>
      <c r="F6" s="53" t="s">
        <v>30</v>
      </c>
      <c r="G6" s="52">
        <f t="shared" si="1"/>
        <v>1.665</v>
      </c>
      <c r="H6" s="52">
        <f t="shared" si="2"/>
        <v>1.6985</v>
      </c>
      <c r="I6" s="52" t="s">
        <v>30</v>
      </c>
      <c r="J6" s="52">
        <f>IF(OR(C6=Sheet2!$A$10),0,L6*0.2)</f>
        <v>1.998</v>
      </c>
      <c r="K6" s="52">
        <f t="shared" si="3"/>
        <v>3.6965</v>
      </c>
      <c r="L6" s="58">
        <v>9.99</v>
      </c>
      <c r="M6" s="52">
        <f>R6*$B$1</f>
        <v>3.8</v>
      </c>
      <c r="N6" s="24">
        <v>5.5</v>
      </c>
      <c r="O6" s="24">
        <v>12</v>
      </c>
      <c r="P6" s="24">
        <v>10</v>
      </c>
      <c r="Q6" s="24">
        <v>1.5</v>
      </c>
      <c r="R6" s="24">
        <v>100</v>
      </c>
      <c r="S6" s="26" t="str">
        <f>IF(Sheet1!R6+Sheet2!$AB$7&gt;=Sheet2!$AA$7,"超出《标准包裹》重量",IF(AND(Sheet1!O6&lt;Sheet2!$X$7,Sheet1!P6&lt;Sheet2!$Y$7,Sheet1!Q6&lt;Sheet2!$Z$7),IF(Sheet1!R6+Sheet2!$AB$6&gt;=Sheet2!$AA$6,Sheet2!$W$7,IF(AND(Sheet1!O6&lt;Sheet2!$X$6,Sheet1!P6&lt;Sheet2!$Y$6,Sheet1!Q6&lt;Sheet2!$Z$6),IF(Sheet1!R6+Sheet2!$AB$5&gt;=Sheet2!$AA$5,Sheet2!$W$6,IF(AND(Sheet1!O6&lt;Sheet2!$X$5,Sheet1!P6&lt;Sheet2!$Y$5,Sheet1!Q6&lt;Sheet2!$Z$5),IF(Sheet1!R6+Sheet2!$AB$4&gt;=Sheet2!$AA$4,Sheet2!$W$5,IF(AND(Sheet1!O6&lt;Sheet2!$X$4,Sheet1!P6&lt;Sheet2!$Y$4,Sheet1!Q6&lt;Sheet2!$Z$4),Sheet2!$W$4,Sheet2!$W$5)),Sheet2!$W$6)),Sheet2!$W$7)),"超出《标准包裹》尺寸"))</f>
        <v>标准信封</v>
      </c>
      <c r="T6" s="69">
        <f>IF(C6=Sheet2!$A$2,H6*VLOOKUP("英镑",Sheet3!$A$10:F$36,2,0)/100-Sheet1!N6-Sheet1!M6,IF(OR(C6=Sheet2!$A$3,C6=Sheet2!$A$4,C6=Sheet2!$A$5,C6=Sheet2!$A$6,C6=Sheet2!$A$7),H6*VLOOKUP("欧元",Sheet3!$A$10:F$36,2,0)/100-Sheet1!N6-Sheet1!M6,IF(C6=Sheet2!$A$8,H6*VLOOKUP("瑞典克朗",Sheet3!$A$10:F$36,2,0)/100-Sheet1!N6-Sheet1!M6,IF(C6=Sheet2!$A$9,H6*173.29/100-Sheet1!N6-Sheet1!M6,"ERR COUNTRY!"))))</f>
        <v>3.96375635000001</v>
      </c>
    </row>
    <row r="7" hidden="1" customHeight="1" spans="1:20">
      <c r="A7" s="40"/>
      <c r="B7" s="41"/>
      <c r="C7" s="38" t="s">
        <v>34</v>
      </c>
      <c r="D7" s="39">
        <f>IF(S7=Sheet2!$W$4,INDEX(Sheet2!$J$5:$Q$5,1,MATCH(Sheet1!C7,Sheet2!$J$3:$Q$3,0)),IF(S7=Sheet2!$W$5,INDEX(Sheet2!$J$6:$Q$8,MATCH(Sheet1!R7,Sheet2!$H$6:$H$8,1),MATCH(Sheet1!C7,Sheet2!$J$3:$Q$3,0)),IF(S7=Sheet2!$W$6,INDEX(Sheet2!$J$9:$Q$9,1,MATCH(Sheet1!C7,Sheet2!$J$3:$Q$3,0)),IF(S7=Sheet2!$W$7,INDEX(Sheet2!$J$10:$Q$24,MATCH(Sheet1!R7,Sheet2!$H$10:$H$24,1),MATCH(Sheet1!C7,Sheet2!$J$3:$Q$3,0)),"ERR COUNTRY!"))))</f>
        <v>2.96</v>
      </c>
      <c r="E7" s="52">
        <f t="shared" si="0"/>
        <v>1.4985</v>
      </c>
      <c r="F7" s="53" t="s">
        <v>30</v>
      </c>
      <c r="G7" s="52">
        <f t="shared" si="1"/>
        <v>1.665</v>
      </c>
      <c r="H7" s="52">
        <f t="shared" si="2"/>
        <v>1.8685</v>
      </c>
      <c r="I7" s="52" t="s">
        <v>30</v>
      </c>
      <c r="J7" s="52">
        <f>IF(OR(C7=Sheet2!$A$10),0,L7*0.2)</f>
        <v>1.998</v>
      </c>
      <c r="K7" s="52">
        <f t="shared" si="3"/>
        <v>3.8665</v>
      </c>
      <c r="L7" s="58">
        <v>9.99</v>
      </c>
      <c r="M7" s="52">
        <f>R7*$B$1</f>
        <v>3.8</v>
      </c>
      <c r="N7" s="24">
        <v>5.5</v>
      </c>
      <c r="O7" s="24">
        <v>12</v>
      </c>
      <c r="P7" s="24">
        <v>10</v>
      </c>
      <c r="Q7" s="24">
        <v>1.5</v>
      </c>
      <c r="R7" s="24">
        <v>100</v>
      </c>
      <c r="S7" s="26" t="str">
        <f>IF(Sheet1!R7+Sheet2!$AB$7&gt;=Sheet2!$AA$7,"超出《标准包裹》重量",IF(AND(Sheet1!O7&lt;Sheet2!$X$7,Sheet1!P7&lt;Sheet2!$Y$7,Sheet1!Q7&lt;Sheet2!$Z$7),IF(Sheet1!R7+Sheet2!$AB$6&gt;=Sheet2!$AA$6,Sheet2!$W$7,IF(AND(Sheet1!O7&lt;Sheet2!$X$6,Sheet1!P7&lt;Sheet2!$Y$6,Sheet1!Q7&lt;Sheet2!$Z$6),IF(Sheet1!R7+Sheet2!$AB$5&gt;=Sheet2!$AA$5,Sheet2!$W$6,IF(AND(Sheet1!O7&lt;Sheet2!$X$5,Sheet1!P7&lt;Sheet2!$Y$5,Sheet1!Q7&lt;Sheet2!$Z$5),IF(Sheet1!R7+Sheet2!$AB$4&gt;=Sheet2!$AA$4,Sheet2!$W$5,IF(AND(Sheet1!O7&lt;Sheet2!$X$4,Sheet1!P7&lt;Sheet2!$Y$4,Sheet1!Q7&lt;Sheet2!$Z$4),Sheet2!$W$4,Sheet2!$W$5)),Sheet2!$W$6)),Sheet2!$W$7)),"超出《标准包裹》尺寸"))</f>
        <v>标准信封</v>
      </c>
      <c r="T7" s="69">
        <f>IF(C7=Sheet2!$A$2,H7*VLOOKUP("英镑",Sheet3!$A$10:F$36,2,0)/100-Sheet1!N7-Sheet1!M7,IF(OR(C7=Sheet2!$A$3,C7=Sheet2!$A$4,C7=Sheet2!$A$5,C7=Sheet2!$A$6,C7=Sheet2!$A$7),H7*VLOOKUP("欧元",Sheet3!$A$10:F$36,2,0)/100-Sheet1!N7-Sheet1!M7,IF(C7=Sheet2!$A$8,H7*VLOOKUP("瑞典克朗",Sheet3!$A$10:F$36,2,0)/100-Sheet1!N7-Sheet1!M7,IF(C7=Sheet2!$A$9,H7*173.29/100-Sheet1!N7-Sheet1!M7,"ERR COUNTRY!"))))</f>
        <v>5.29130335000001</v>
      </c>
    </row>
    <row r="8" hidden="1" customHeight="1" spans="1:20">
      <c r="A8" s="40"/>
      <c r="B8" s="41"/>
      <c r="C8" s="38" t="s">
        <v>35</v>
      </c>
      <c r="D8" s="39">
        <f>IF(S8=Sheet2!$W$4,INDEX(Sheet2!$J$5:$Q$5,1,MATCH(Sheet1!C8,Sheet2!$J$3:$Q$3,0)),IF(S8=Sheet2!$W$5,INDEX(Sheet2!$J$6:$Q$8,MATCH(Sheet1!R8,Sheet2!$H$6:$H$8,1),MATCH(Sheet1!C8,Sheet2!$J$3:$Q$3,0)),IF(S8=Sheet2!$W$6,INDEX(Sheet2!$J$9:$Q$9,1,MATCH(Sheet1!C8,Sheet2!$J$3:$Q$3,0)),IF(S8=Sheet2!$W$7,INDEX(Sheet2!$J$10:$Q$24,MATCH(Sheet1!R8,Sheet2!$H$10:$H$24,1),MATCH(Sheet1!C8,Sheet2!$J$3:$Q$3,0)),"ERR COUNTRY!"))))</f>
        <v>1.99</v>
      </c>
      <c r="E8" s="52">
        <f t="shared" si="0"/>
        <v>1.4985</v>
      </c>
      <c r="F8" s="53" t="s">
        <v>30</v>
      </c>
      <c r="G8" s="52">
        <f t="shared" si="1"/>
        <v>1.665</v>
      </c>
      <c r="H8" s="52">
        <f t="shared" si="2"/>
        <v>2.8385</v>
      </c>
      <c r="I8" s="52" t="s">
        <v>30</v>
      </c>
      <c r="J8" s="52">
        <f>IF(OR(C8=Sheet2!$A$10),0,L8*0.2)</f>
        <v>1.998</v>
      </c>
      <c r="K8" s="52">
        <f t="shared" si="3"/>
        <v>4.8365</v>
      </c>
      <c r="L8" s="58">
        <v>9.99</v>
      </c>
      <c r="M8" s="52">
        <f>R8*$B$1</f>
        <v>3.8</v>
      </c>
      <c r="N8" s="24">
        <v>5.5</v>
      </c>
      <c r="O8" s="24">
        <v>12</v>
      </c>
      <c r="P8" s="24">
        <v>10</v>
      </c>
      <c r="Q8" s="24">
        <v>1.5</v>
      </c>
      <c r="R8" s="24">
        <v>100</v>
      </c>
      <c r="S8" s="26" t="str">
        <f>IF(Sheet1!R8+Sheet2!$AB$7&gt;=Sheet2!$AA$7,"超出《标准包裹》重量",IF(AND(Sheet1!O8&lt;Sheet2!$X$7,Sheet1!P8&lt;Sheet2!$Y$7,Sheet1!Q8&lt;Sheet2!$Z$7),IF(Sheet1!R8+Sheet2!$AB$6&gt;=Sheet2!$AA$6,Sheet2!$W$7,IF(AND(Sheet1!O8&lt;Sheet2!$X$6,Sheet1!P8&lt;Sheet2!$Y$6,Sheet1!Q8&lt;Sheet2!$Z$6),IF(Sheet1!R8+Sheet2!$AB$5&gt;=Sheet2!$AA$5,Sheet2!$W$6,IF(AND(Sheet1!O8&lt;Sheet2!$X$5,Sheet1!P8&lt;Sheet2!$Y$5,Sheet1!Q8&lt;Sheet2!$Z$5),IF(Sheet1!R8+Sheet2!$AB$4&gt;=Sheet2!$AA$4,Sheet2!$W$5,IF(AND(Sheet1!O8&lt;Sheet2!$X$4,Sheet1!P8&lt;Sheet2!$Y$4,Sheet1!Q8&lt;Sheet2!$Z$4),Sheet2!$W$4,Sheet2!$W$5)),Sheet2!$W$6)),Sheet2!$W$7)),"超出《标准包裹》尺寸"))</f>
        <v>标准信封</v>
      </c>
      <c r="T8" s="69">
        <f>IF(C8=Sheet2!$A$2,H8*VLOOKUP("英镑",Sheet3!$A$10:F$36,2,0)/100-Sheet1!N8-Sheet1!M8,IF(OR(C8=Sheet2!$A$3,C8=Sheet2!$A$4,C8=Sheet2!$A$5,C8=Sheet2!$A$6,C8=Sheet2!$A$7),H8*VLOOKUP("欧元",Sheet3!$A$10:F$36,2,0)/100-Sheet1!N8-Sheet1!M8,IF(C8=Sheet2!$A$8,H8*VLOOKUP("瑞典克朗",Sheet3!$A$10:F$36,2,0)/100-Sheet1!N8-Sheet1!M8,IF(C8=Sheet2!$A$9,H8*173.29/100-Sheet1!N8-Sheet1!M8,"ERR COUNTRY!"))))</f>
        <v>12.86613035</v>
      </c>
    </row>
    <row r="9" hidden="1" customHeight="1" spans="1:20">
      <c r="A9" s="40"/>
      <c r="B9" s="41"/>
      <c r="C9" s="38" t="s">
        <v>36</v>
      </c>
      <c r="D9" s="39">
        <f>IF(S9=Sheet2!$W$4,INDEX(Sheet2!$J$5:$Q$5,1,MATCH(Sheet1!C9,Sheet2!$J$3:$Q$3,0)),IF(S9=Sheet2!$W$5,INDEX(Sheet2!$J$6:$Q$8,MATCH(Sheet1!R9,Sheet2!$H$6:$H$8,1),MATCH(Sheet1!C9,Sheet2!$J$3:$Q$3,0)),IF(S9=Sheet2!$W$6,INDEX(Sheet2!$J$9:$Q$9,1,MATCH(Sheet1!C9,Sheet2!$J$3:$Q$3,0)),IF(S9=Sheet2!$W$7,INDEX(Sheet2!$J$10:$Q$24,MATCH(Sheet1!R9,Sheet2!$H$10:$H$24,1),MATCH(Sheet1!C9,Sheet2!$J$3:$Q$3,0)),"ERR COUNTRY!"))))</f>
        <v>27.92</v>
      </c>
      <c r="E9" s="52">
        <f t="shared" si="0"/>
        <v>15</v>
      </c>
      <c r="F9" s="53" t="s">
        <v>30</v>
      </c>
      <c r="G9" s="52">
        <f t="shared" si="1"/>
        <v>16.6666666666667</v>
      </c>
      <c r="H9" s="52">
        <f t="shared" si="2"/>
        <v>20.4133333333333</v>
      </c>
      <c r="I9" s="52" t="s">
        <v>30</v>
      </c>
      <c r="J9" s="52">
        <f>IF(OR(C9=Sheet2!$A$10),0,L9*0.2)</f>
        <v>20</v>
      </c>
      <c r="K9" s="52">
        <f t="shared" si="3"/>
        <v>40.4133333333333</v>
      </c>
      <c r="L9" s="58">
        <v>100</v>
      </c>
      <c r="M9" s="52">
        <f>R9*$B$1</f>
        <v>3.8</v>
      </c>
      <c r="N9" s="24">
        <v>5.5</v>
      </c>
      <c r="O9" s="24">
        <v>12</v>
      </c>
      <c r="P9" s="24">
        <v>10</v>
      </c>
      <c r="Q9" s="24">
        <v>1.5</v>
      </c>
      <c r="R9" s="24">
        <v>100</v>
      </c>
      <c r="S9" s="26" t="str">
        <f>IF(Sheet1!R9+Sheet2!$AB$7&gt;=Sheet2!$AA$7,"超出《标准包裹》重量",IF(AND(Sheet1!O9&lt;Sheet2!$X$7,Sheet1!P9&lt;Sheet2!$Y$7,Sheet1!Q9&lt;Sheet2!$Z$7),IF(Sheet1!R9+Sheet2!$AB$6&gt;=Sheet2!$AA$6,Sheet2!$W$7,IF(AND(Sheet1!O9&lt;Sheet2!$X$6,Sheet1!P9&lt;Sheet2!$Y$6,Sheet1!Q9&lt;Sheet2!$Z$6),IF(Sheet1!R9+Sheet2!$AB$5&gt;=Sheet2!$AA$5,Sheet2!$W$6,IF(AND(Sheet1!O9&lt;Sheet2!$X$5,Sheet1!P9&lt;Sheet2!$Y$5,Sheet1!Q9&lt;Sheet2!$Z$5),IF(Sheet1!R9+Sheet2!$AB$4&gt;=Sheet2!$AA$4,Sheet2!$W$5,IF(AND(Sheet1!O9&lt;Sheet2!$X$4,Sheet1!P9&lt;Sheet2!$Y$4,Sheet1!Q9&lt;Sheet2!$Z$4),Sheet2!$W$4,Sheet2!$W$5)),Sheet2!$W$6)),Sheet2!$W$7)),"超出《标准包裹》尺寸"))</f>
        <v>标准信封</v>
      </c>
      <c r="T9" s="69">
        <f>IF(C9=Sheet2!$A$2,H9*VLOOKUP("英镑",Sheet3!$A$10:F$36,2,0)/100-Sheet1!N9-Sheet1!M9,IF(OR(C9=Sheet2!$A$3,C9=Sheet2!$A$4,C9=Sheet2!$A$5,C9=Sheet2!$A$6,C9=Sheet2!$A$7),H9*VLOOKUP("欧元",Sheet3!$A$10:F$36,2,0)/100-Sheet1!N9-Sheet1!M9,IF(C9=Sheet2!$A$8,H9*VLOOKUP("瑞典克朗",Sheet3!$A$10:F$36,2,0)/100-Sheet1!N9-Sheet1!M9,IF(C9=Sheet2!$A$9,H9*173.29/100-Sheet1!N9-Sheet1!M9,"ERR COUNTRY!"))))</f>
        <v>6.40397733333334</v>
      </c>
    </row>
    <row r="10" hidden="1" customHeight="1" spans="1:20">
      <c r="A10" s="42"/>
      <c r="B10" s="41"/>
      <c r="C10" s="38" t="s">
        <v>37</v>
      </c>
      <c r="D10" s="39">
        <f>IF(S10=Sheet2!$W$4,INDEX(Sheet2!$J$5:$Q$5,1,MATCH(Sheet1!C10,Sheet2!$J$3:$Q$3,0)),IF(S10=Sheet2!$W$5,INDEX(Sheet2!$J$6:$Q$8,MATCH(Sheet1!R10,Sheet2!$H$6:$H$8,1),MATCH(Sheet1!C10,Sheet2!$J$3:$Q$3,0)),IF(S10=Sheet2!$W$6,INDEX(Sheet2!$J$9:$Q$9,1,MATCH(Sheet1!C10,Sheet2!$J$3:$Q$3,0)),IF(S10=Sheet2!$W$7,INDEX(Sheet2!$J$10:$Q$24,MATCH(Sheet1!R10,Sheet2!$H$10:$H$24,1),MATCH(Sheet1!C10,Sheet2!$J$3:$Q$3,0)),"ERR COUNTRY!"))))</f>
        <v>4.66</v>
      </c>
      <c r="E10" s="52">
        <f t="shared" si="0"/>
        <v>1.4985</v>
      </c>
      <c r="F10" s="53" t="s">
        <v>30</v>
      </c>
      <c r="G10" s="52">
        <f t="shared" si="1"/>
        <v>1.665</v>
      </c>
      <c r="H10" s="52">
        <f t="shared" si="2"/>
        <v>0.1685</v>
      </c>
      <c r="I10" s="52" t="s">
        <v>30</v>
      </c>
      <c r="J10" s="52">
        <f>IF(OR(C10=Sheet2!$A$10),0,L10*0.2)</f>
        <v>1.998</v>
      </c>
      <c r="K10" s="52">
        <f t="shared" si="3"/>
        <v>2.1665</v>
      </c>
      <c r="L10" s="58">
        <v>9.99</v>
      </c>
      <c r="M10" s="52">
        <f>R10*$B$1</f>
        <v>3.8</v>
      </c>
      <c r="N10" s="24">
        <v>5.5</v>
      </c>
      <c r="O10" s="24">
        <v>12</v>
      </c>
      <c r="P10" s="24">
        <v>10</v>
      </c>
      <c r="Q10" s="24">
        <v>1.5</v>
      </c>
      <c r="R10" s="24">
        <v>100</v>
      </c>
      <c r="S10" s="26" t="str">
        <f>IF(Sheet1!R10+Sheet2!$AB$7&gt;=Sheet2!$AA$7,"超出《标准包裹》重量",IF(AND(Sheet1!O10&lt;Sheet2!$X$7,Sheet1!P10&lt;Sheet2!$Y$7,Sheet1!Q10&lt;Sheet2!$Z$7),IF(Sheet1!R10+Sheet2!$AB$6&gt;=Sheet2!$AA$6,Sheet2!$W$7,IF(AND(Sheet1!O10&lt;Sheet2!$X$6,Sheet1!P10&lt;Sheet2!$Y$6,Sheet1!Q10&lt;Sheet2!$Z$6),IF(Sheet1!R10+Sheet2!$AB$5&gt;=Sheet2!$AA$5,Sheet2!$W$6,IF(AND(Sheet1!O10&lt;Sheet2!$X$5,Sheet1!P10&lt;Sheet2!$Y$5,Sheet1!Q10&lt;Sheet2!$Z$5),IF(Sheet1!R10+Sheet2!$AB$4&gt;=Sheet2!$AA$4,Sheet2!$W$5,IF(AND(Sheet1!O10&lt;Sheet2!$X$4,Sheet1!P10&lt;Sheet2!$Y$4,Sheet1!Q10&lt;Sheet2!$Z$4),Sheet2!$W$4,Sheet2!$W$5)),Sheet2!$W$6)),Sheet2!$W$7)),"超出《标准包裹》尺寸"))</f>
        <v>标准信封</v>
      </c>
      <c r="T10" s="69">
        <f>IF(C10=Sheet2!$A$2,H10*VLOOKUP("英镑",Sheet3!$A$10:F$36,2,0)/100-Sheet1!N10-Sheet1!M10,IF(OR(C10=Sheet2!$A$3,C10=Sheet2!$A$4,C10=Sheet2!$A$5,C10=Sheet2!$A$6,C10=Sheet2!$A$7),H10*VLOOKUP("欧元",Sheet3!$A$10:F$36,2,0)/100-Sheet1!N10-Sheet1!M10,IF(C10=Sheet2!$A$8,H10*VLOOKUP("瑞典克朗",Sheet3!$A$10:F$36,2,0)/100-Sheet1!N10-Sheet1!M10,IF(C10=Sheet2!$A$9,H10*173.29/100-Sheet1!N10-Sheet1!M10,"ERR COUNTRY!"))))</f>
        <v>-9.00800635</v>
      </c>
    </row>
    <row r="11" ht="15" customHeight="1" spans="1:25">
      <c r="A11" s="77" t="s">
        <v>38</v>
      </c>
      <c r="B11" s="44">
        <v>75</v>
      </c>
      <c r="C11" s="45" t="s">
        <v>29</v>
      </c>
      <c r="D11" s="39">
        <f>IF(S11=Sheet2!$W$4,INDEX(Sheet2!$J$5:$Q$5,1,MATCH(Sheet1!C11,Sheet2!$J$3:$Q$3,0)),IF(S11=Sheet2!$W$5,INDEX(Sheet2!$J$6:$Q$8,MATCH(Sheet1!R11,Sheet2!$H$6:$H$8,1),MATCH(Sheet1!C11,Sheet2!$J$3:$Q$3,0)),IF(S11=Sheet2!$W$6,INDEX(Sheet2!$J$9:$Q$9,1,MATCH(Sheet1!C11,Sheet2!$J$3:$Q$3,0)),IF(S11=Sheet2!$W$7,INDEX(Sheet2!$J$10:$Q$24,MATCH(Sheet1!R11,Sheet2!$H$10:$H$24,1),MATCH(Sheet1!C11,Sheet2!$J$3:$Q$3,0)),"ERR COUNTRY!"))))</f>
        <v>1.79</v>
      </c>
      <c r="E11" s="52">
        <f t="shared" si="0"/>
        <v>1.6485</v>
      </c>
      <c r="F11" s="53" t="s">
        <v>30</v>
      </c>
      <c r="G11" s="52">
        <f t="shared" si="1"/>
        <v>1.83166666666667</v>
      </c>
      <c r="H11" s="52">
        <f t="shared" si="2"/>
        <v>3.52183333333333</v>
      </c>
      <c r="I11" s="52" t="s">
        <v>30</v>
      </c>
      <c r="J11" s="52">
        <f>IF(OR(C11=Sheet2!$A$10),0,L11*0.2)</f>
        <v>2.198</v>
      </c>
      <c r="K11" s="52">
        <f t="shared" si="3"/>
        <v>5.71983333333333</v>
      </c>
      <c r="L11" s="58">
        <v>10.99</v>
      </c>
      <c r="M11" s="52">
        <f>R11*$B$1</f>
        <v>7.6</v>
      </c>
      <c r="N11" s="24">
        <v>9.48</v>
      </c>
      <c r="O11" s="24">
        <v>24</v>
      </c>
      <c r="P11" s="24">
        <v>22</v>
      </c>
      <c r="Q11" s="24">
        <v>2.3</v>
      </c>
      <c r="R11" s="24">
        <v>200</v>
      </c>
      <c r="S11" s="26" t="str">
        <f>IF(Sheet1!R11+Sheet2!$AB$7&gt;=Sheet2!$AA$7,"超出《标准包裹》重量",IF(AND(Sheet1!O11&lt;Sheet2!$X$7,Sheet1!P11&lt;Sheet2!$Y$7,Sheet1!Q11&lt;Sheet2!$Z$7),IF(Sheet1!R11+Sheet2!$AB$6&gt;=Sheet2!$AA$6,Sheet2!$W$7,IF(AND(Sheet1!O11&lt;Sheet2!$X$6,Sheet1!P11&lt;Sheet2!$Y$6,Sheet1!Q11&lt;Sheet2!$Z$6),IF(Sheet1!R11+Sheet2!$AB$5&gt;=Sheet2!$AA$5,Sheet2!$W$6,IF(AND(Sheet1!O11&lt;Sheet2!$X$5,Sheet1!P11&lt;Sheet2!$Y$5,Sheet1!Q11&lt;Sheet2!$Z$5),IF(Sheet1!R11+Sheet2!$AB$4&gt;=Sheet2!$AA$4,Sheet2!$W$5,IF(AND(Sheet1!O11&lt;Sheet2!$X$4,Sheet1!P11&lt;Sheet2!$Y$4,Sheet1!Q11&lt;Sheet2!$Z$4),Sheet2!$W$4,Sheet2!$W$5)),Sheet2!$W$6)),Sheet2!$W$7)),"超出《标准包裹》尺寸"))</f>
        <v>标准信封</v>
      </c>
      <c r="T11" s="69">
        <f>H11*8.3-N11-M11</f>
        <v>12.1512166666667</v>
      </c>
      <c r="U11" s="73">
        <f>T11/(L11*8.3)*100%</f>
        <v>0.133212193633497</v>
      </c>
      <c r="W11" s="74"/>
      <c r="X11" s="74"/>
      <c r="Y11" s="76"/>
    </row>
    <row r="12" ht="15" customHeight="1" spans="1:25">
      <c r="A12" s="46"/>
      <c r="B12" s="47"/>
      <c r="C12" s="45" t="s">
        <v>31</v>
      </c>
      <c r="D12" s="39">
        <v>8.33</v>
      </c>
      <c r="E12" s="52">
        <f t="shared" si="0"/>
        <v>13.6485</v>
      </c>
      <c r="F12" s="53" t="s">
        <v>30</v>
      </c>
      <c r="G12" s="52">
        <f t="shared" si="1"/>
        <v>15.165</v>
      </c>
      <c r="H12" s="52">
        <f t="shared" si="2"/>
        <v>35.6485</v>
      </c>
      <c r="I12" s="52" t="s">
        <v>30</v>
      </c>
      <c r="J12" s="52">
        <f>IF(OR(C12=Sheet2!$A$10),0,L12*0.2)</f>
        <v>18.198</v>
      </c>
      <c r="K12" s="52">
        <f t="shared" si="3"/>
        <v>53.8465</v>
      </c>
      <c r="L12" s="58">
        <v>90.99</v>
      </c>
      <c r="M12" s="52">
        <f>R12*$B$1</f>
        <v>10.64</v>
      </c>
      <c r="N12" s="24">
        <v>160</v>
      </c>
      <c r="O12" s="24">
        <v>77</v>
      </c>
      <c r="P12" s="24">
        <v>38</v>
      </c>
      <c r="Q12" s="24">
        <v>38</v>
      </c>
      <c r="R12" s="24">
        <v>280</v>
      </c>
      <c r="S12" s="26" t="str">
        <f>IF(Sheet1!R12+Sheet2!$AB$7&gt;=Sheet2!$AA$7,"超出《标准包裹》重量",IF(AND(Sheet1!O12&lt;Sheet2!$X$7,Sheet1!P12&lt;Sheet2!$Y$7,Sheet1!Q12&lt;Sheet2!$Z$7),IF(Sheet1!R12+Sheet2!$AB$6&gt;=Sheet2!$AA$6,Sheet2!$W$7,IF(AND(Sheet1!O12&lt;Sheet2!$X$6,Sheet1!P12&lt;Sheet2!$Y$6,Sheet1!Q12&lt;Sheet2!$Z$6),IF(Sheet1!R12+Sheet2!$AB$5&gt;=Sheet2!$AA$5,Sheet2!$W$6,IF(AND(Sheet1!O12&lt;Sheet2!$X$5,Sheet1!P12&lt;Sheet2!$Y$5,Sheet1!Q12&lt;Sheet2!$Z$5),IF(Sheet1!R12+Sheet2!$AB$4&gt;=Sheet2!$AA$4,Sheet2!$W$5,IF(AND(Sheet1!O12&lt;Sheet2!$X$4,Sheet1!P12&lt;Sheet2!$Y$4,Sheet1!Q12&lt;Sheet2!$Z$4),Sheet2!$W$4,Sheet2!$W$5)),Sheet2!$W$6)),Sheet2!$W$7)),"超出《标准包裹》尺寸"))</f>
        <v>超出《标准包裹》尺寸</v>
      </c>
      <c r="T12" s="69">
        <f>H12*7-N12-M12</f>
        <v>78.8995</v>
      </c>
      <c r="U12" s="73">
        <f>T12/(L12*7)*100%</f>
        <v>0.123874680106134</v>
      </c>
      <c r="X12" s="74"/>
      <c r="Y12" s="76"/>
    </row>
    <row r="13" ht="15" customHeight="1" spans="1:25">
      <c r="A13" s="46"/>
      <c r="B13" s="47"/>
      <c r="C13" s="45" t="s">
        <v>32</v>
      </c>
      <c r="D13" s="39">
        <f>IF(S13=Sheet2!$W$4,INDEX(Sheet2!$J$5:$Q$5,1,MATCH(Sheet1!C13,Sheet2!$J$3:$Q$3,0)),IF(S13=Sheet2!$W$5,INDEX(Sheet2!$J$6:$Q$8,MATCH(Sheet1!R13,Sheet2!$H$6:$H$8,1),MATCH(Sheet1!C13,Sheet2!$J$3:$Q$3,0)),IF(S13=Sheet2!$W$6,INDEX(Sheet2!$J$9:$Q$9,1,MATCH(Sheet1!C13,Sheet2!$J$3:$Q$3,0)),IF(S13=Sheet2!$W$7,INDEX(Sheet2!$J$10:$Q$24,MATCH(Sheet1!R13,Sheet2!$H$10:$H$24,1),MATCH(Sheet1!C13,Sheet2!$J$3:$Q$3,0)),"ERR COUNTRY!"))))</f>
        <v>5.27</v>
      </c>
      <c r="E13" s="52">
        <f t="shared" si="0"/>
        <v>2.3985</v>
      </c>
      <c r="F13" s="53" t="s">
        <v>30</v>
      </c>
      <c r="G13" s="52">
        <f t="shared" si="1"/>
        <v>2.665</v>
      </c>
      <c r="H13" s="52">
        <f t="shared" si="2"/>
        <v>2.4585</v>
      </c>
      <c r="I13" s="52" t="s">
        <v>30</v>
      </c>
      <c r="J13" s="52">
        <f>IF(OR(C13=Sheet2!$A$10),0,L13*0.2)</f>
        <v>3.198</v>
      </c>
      <c r="K13" s="52">
        <f t="shared" si="3"/>
        <v>5.6565</v>
      </c>
      <c r="L13" s="58">
        <v>15.99</v>
      </c>
      <c r="M13" s="52">
        <f>R13*$B$1</f>
        <v>7.6</v>
      </c>
      <c r="N13" s="24">
        <v>21</v>
      </c>
      <c r="O13" s="24">
        <v>25</v>
      </c>
      <c r="P13" s="24">
        <v>12</v>
      </c>
      <c r="Q13" s="24">
        <v>12</v>
      </c>
      <c r="R13" s="24">
        <v>200</v>
      </c>
      <c r="S13" s="26" t="str">
        <f>IF(Sheet1!R13+Sheet2!$AB$7&gt;=Sheet2!$AA$7,"超出《标准包裹》重量",IF(AND(Sheet1!O13&lt;Sheet2!$X$7,Sheet1!P13&lt;Sheet2!$Y$7,Sheet1!Q13&lt;Sheet2!$Z$7),IF(Sheet1!R13+Sheet2!$AB$6&gt;=Sheet2!$AA$6,Sheet2!$W$7,IF(AND(Sheet1!O13&lt;Sheet2!$X$6,Sheet1!P13&lt;Sheet2!$Y$6,Sheet1!Q13&lt;Sheet2!$Z$6),IF(Sheet1!R13+Sheet2!$AB$5&gt;=Sheet2!$AA$5,Sheet2!$W$6,IF(AND(Sheet1!O13&lt;Sheet2!$X$5,Sheet1!P13&lt;Sheet2!$Y$5,Sheet1!Q13&lt;Sheet2!$Z$5),IF(Sheet1!R13+Sheet2!$AB$4&gt;=Sheet2!$AA$4,Sheet2!$W$5,IF(AND(Sheet1!O13&lt;Sheet2!$X$4,Sheet1!P13&lt;Sheet2!$Y$4,Sheet1!Q13&lt;Sheet2!$Z$4),Sheet2!$W$4,Sheet2!$W$5)),Sheet2!$W$6)),Sheet2!$W$7)),"超出《标准包裹》尺寸"))</f>
        <v>标准包裹</v>
      </c>
      <c r="T13" s="69">
        <f>H13*7-N13-M13</f>
        <v>-11.3905</v>
      </c>
      <c r="U13" s="73">
        <f>T13/(L13*7)*100%</f>
        <v>-0.101764495666935</v>
      </c>
      <c r="Y13" s="76"/>
    </row>
    <row r="14" ht="15" customHeight="1" spans="1:25">
      <c r="A14" s="46"/>
      <c r="B14" s="47"/>
      <c r="C14" s="45" t="s">
        <v>33</v>
      </c>
      <c r="D14" s="39">
        <f>IF(S14=Sheet2!$W$4,INDEX(Sheet2!$J$5:$Q$5,1,MATCH(Sheet1!C14,Sheet2!$J$3:$Q$3,0)),IF(S14=Sheet2!$W$5,INDEX(Sheet2!$J$6:$Q$8,MATCH(Sheet1!R14,Sheet2!$H$6:$H$8,1),MATCH(Sheet1!C14,Sheet2!$J$3:$Q$3,0)),IF(S14=Sheet2!$W$6,INDEX(Sheet2!$J$9:$Q$9,1,MATCH(Sheet1!C14,Sheet2!$J$3:$Q$3,0)),IF(S14=Sheet2!$W$7,INDEX(Sheet2!$J$10:$Q$24,MATCH(Sheet1!R14,Sheet2!$H$10:$H$24,1),MATCH(Sheet1!C14,Sheet2!$J$3:$Q$3,0)),"ERR COUNTRY!"))))</f>
        <v>3.13</v>
      </c>
      <c r="E14" s="52">
        <f t="shared" si="0"/>
        <v>2.2485</v>
      </c>
      <c r="F14" s="53" t="s">
        <v>30</v>
      </c>
      <c r="G14" s="52">
        <f t="shared" si="1"/>
        <v>2.49833333333333</v>
      </c>
      <c r="H14" s="52">
        <f t="shared" si="2"/>
        <v>4.11516666666667</v>
      </c>
      <c r="I14" s="52" t="s">
        <v>30</v>
      </c>
      <c r="J14" s="52">
        <f>IF(OR(C14=Sheet2!$A$10),0,L14*0.2)</f>
        <v>2.998</v>
      </c>
      <c r="K14" s="52">
        <f t="shared" si="3"/>
        <v>7.11316666666667</v>
      </c>
      <c r="L14" s="58">
        <v>14.99</v>
      </c>
      <c r="M14" s="52">
        <f>R14*$B$1</f>
        <v>7.6</v>
      </c>
      <c r="N14" s="24">
        <v>9.48</v>
      </c>
      <c r="O14" s="24">
        <v>24</v>
      </c>
      <c r="P14" s="24">
        <v>22</v>
      </c>
      <c r="Q14" s="24">
        <v>2.3</v>
      </c>
      <c r="R14" s="24">
        <v>200</v>
      </c>
      <c r="S14" s="26" t="str">
        <f>IF(Sheet1!R14+Sheet2!$AB$7&gt;=Sheet2!$AA$7,"超出《标准包裹》重量",IF(AND(Sheet1!O14&lt;Sheet2!$X$7,Sheet1!P14&lt;Sheet2!$Y$7,Sheet1!Q14&lt;Sheet2!$Z$7),IF(Sheet1!R14+Sheet2!$AB$6&gt;=Sheet2!$AA$6,Sheet2!$W$7,IF(AND(Sheet1!O14&lt;Sheet2!$X$6,Sheet1!P14&lt;Sheet2!$Y$6,Sheet1!Q14&lt;Sheet2!$Z$6),IF(Sheet1!R14+Sheet2!$AB$5&gt;=Sheet2!$AA$5,Sheet2!$W$6,IF(AND(Sheet1!O14&lt;Sheet2!$X$5,Sheet1!P14&lt;Sheet2!$Y$5,Sheet1!Q14&lt;Sheet2!$Z$5),IF(Sheet1!R14+Sheet2!$AB$4&gt;=Sheet2!$AA$4,Sheet2!$W$5,IF(AND(Sheet1!O14&lt;Sheet2!$X$4,Sheet1!P14&lt;Sheet2!$Y$4,Sheet1!Q14&lt;Sheet2!$Z$4),Sheet2!$W$4,Sheet2!$W$5)),Sheet2!$W$6)),Sheet2!$W$7)),"超出《标准包裹》尺寸"))</f>
        <v>标准信封</v>
      </c>
      <c r="T14" s="69">
        <f>H14*7-N14-M14</f>
        <v>11.7261666666667</v>
      </c>
      <c r="U14" s="73">
        <f>T14/(L14*7)*100%</f>
        <v>0.111752279297309</v>
      </c>
      <c r="W14" s="75"/>
      <c r="X14" s="75"/>
      <c r="Y14" s="76"/>
    </row>
    <row r="15" ht="15" customHeight="1" spans="1:25">
      <c r="A15" s="46"/>
      <c r="B15" s="47"/>
      <c r="C15" s="45" t="s">
        <v>34</v>
      </c>
      <c r="D15" s="39">
        <f>IF(S15=Sheet2!$W$4,INDEX(Sheet2!$J$5:$Q$5,1,MATCH(Sheet1!C15,Sheet2!$J$3:$Q$3,0)),IF(S15=Sheet2!$W$5,INDEX(Sheet2!$J$6:$Q$8,MATCH(Sheet1!R15,Sheet2!$H$6:$H$8,1),MATCH(Sheet1!C15,Sheet2!$J$3:$Q$3,0)),IF(S15=Sheet2!$W$6,INDEX(Sheet2!$J$9:$Q$9,1,MATCH(Sheet1!C15,Sheet2!$J$3:$Q$3,0)),IF(S15=Sheet2!$W$7,INDEX(Sheet2!$J$10:$Q$24,MATCH(Sheet1!R15,Sheet2!$H$10:$H$24,1),MATCH(Sheet1!C15,Sheet2!$J$3:$Q$3,0)),"ERR COUNTRY!"))))</f>
        <v>2.96</v>
      </c>
      <c r="E15" s="52">
        <f t="shared" si="0"/>
        <v>2.2485</v>
      </c>
      <c r="F15" s="53" t="s">
        <v>30</v>
      </c>
      <c r="G15" s="52">
        <f t="shared" si="1"/>
        <v>2.49833333333333</v>
      </c>
      <c r="H15" s="52">
        <f t="shared" si="2"/>
        <v>4.28516666666667</v>
      </c>
      <c r="I15" s="52" t="s">
        <v>30</v>
      </c>
      <c r="J15" s="52">
        <f>IF(OR(C15=Sheet2!$A$10),0,L15*0.2)</f>
        <v>2.998</v>
      </c>
      <c r="K15" s="52">
        <f t="shared" si="3"/>
        <v>7.28316666666667</v>
      </c>
      <c r="L15" s="58">
        <v>14.99</v>
      </c>
      <c r="M15" s="52">
        <f>R15*$B$1</f>
        <v>7.6</v>
      </c>
      <c r="N15" s="24">
        <v>9.48</v>
      </c>
      <c r="O15" s="24">
        <v>24</v>
      </c>
      <c r="P15" s="24">
        <v>22</v>
      </c>
      <c r="Q15" s="24">
        <v>2.3</v>
      </c>
      <c r="R15" s="24">
        <v>200</v>
      </c>
      <c r="S15" s="26" t="str">
        <f>IF(Sheet1!R15+Sheet2!$AB$7&gt;=Sheet2!$AA$7,"超出《标准包裹》重量",IF(AND(Sheet1!O15&lt;Sheet2!$X$7,Sheet1!P15&lt;Sheet2!$Y$7,Sheet1!Q15&lt;Sheet2!$Z$7),IF(Sheet1!R15+Sheet2!$AB$6&gt;=Sheet2!$AA$6,Sheet2!$W$7,IF(AND(Sheet1!O15&lt;Sheet2!$X$6,Sheet1!P15&lt;Sheet2!$Y$6,Sheet1!Q15&lt;Sheet2!$Z$6),IF(Sheet1!R15+Sheet2!$AB$5&gt;=Sheet2!$AA$5,Sheet2!$W$6,IF(AND(Sheet1!O15&lt;Sheet2!$X$5,Sheet1!P15&lt;Sheet2!$Y$5,Sheet1!Q15&lt;Sheet2!$Z$5),IF(Sheet1!R15+Sheet2!$AB$4&gt;=Sheet2!$AA$4,Sheet2!$W$5,IF(AND(Sheet1!O15&lt;Sheet2!$X$4,Sheet1!P15&lt;Sheet2!$Y$4,Sheet1!Q15&lt;Sheet2!$Z$4),Sheet2!$W$4,Sheet2!$W$5)),Sheet2!$W$6)),Sheet2!$W$7)),"超出《标准包裹》尺寸"))</f>
        <v>标准信封</v>
      </c>
      <c r="T15" s="69">
        <f>H15*7-N15-M15</f>
        <v>12.9161666666667</v>
      </c>
      <c r="U15" s="73">
        <f>T15/(L15*7)*100%</f>
        <v>0.123093173226596</v>
      </c>
      <c r="Y15" s="76"/>
    </row>
    <row r="16" ht="15" customHeight="1" spans="1:25">
      <c r="A16" s="46"/>
      <c r="B16" s="47"/>
      <c r="C16" s="45" t="s">
        <v>35</v>
      </c>
      <c r="D16" s="39">
        <f>IF(S16=Sheet2!$W$4,INDEX(Sheet2!$J$5:$Q$5,1,MATCH(Sheet1!C16,Sheet2!$J$3:$Q$3,0)),IF(S16=Sheet2!$W$5,INDEX(Sheet2!$J$6:$Q$8,MATCH(Sheet1!R16,Sheet2!$H$6:$H$8,1),MATCH(Sheet1!C16,Sheet2!$J$3:$Q$3,0)),IF(S16=Sheet2!$W$6,INDEX(Sheet2!$J$9:$Q$9,1,MATCH(Sheet1!C16,Sheet2!$J$3:$Q$3,0)),IF(S16=Sheet2!$W$7,INDEX(Sheet2!$J$10:$Q$24,MATCH(Sheet1!R16,Sheet2!$H$10:$H$24,1),MATCH(Sheet1!C16,Sheet2!$J$3:$Q$3,0)),"ERR COUNTRY!"))))</f>
        <v>1.99</v>
      </c>
      <c r="E16" s="52">
        <f t="shared" si="0"/>
        <v>1.9485</v>
      </c>
      <c r="F16" s="53" t="s">
        <v>30</v>
      </c>
      <c r="G16" s="52">
        <f t="shared" si="1"/>
        <v>2.165</v>
      </c>
      <c r="H16" s="52">
        <f t="shared" si="2"/>
        <v>4.2885</v>
      </c>
      <c r="I16" s="52" t="s">
        <v>30</v>
      </c>
      <c r="J16" s="52">
        <f>IF(OR(C16=Sheet2!$A$10),0,L16*0.2)</f>
        <v>2.598</v>
      </c>
      <c r="K16" s="52">
        <f t="shared" si="3"/>
        <v>6.8865</v>
      </c>
      <c r="L16" s="58">
        <v>12.99</v>
      </c>
      <c r="M16" s="52">
        <f>R16*$B$1</f>
        <v>7.6</v>
      </c>
      <c r="N16" s="24">
        <v>9.48</v>
      </c>
      <c r="O16" s="24">
        <v>24</v>
      </c>
      <c r="P16" s="24">
        <v>22</v>
      </c>
      <c r="Q16" s="24">
        <v>2.3</v>
      </c>
      <c r="R16" s="24">
        <v>200</v>
      </c>
      <c r="S16" s="26" t="str">
        <f>IF(Sheet1!R16+Sheet2!$AB$7&gt;=Sheet2!$AA$7,"超出《标准包裹》重量",IF(AND(Sheet1!O16&lt;Sheet2!$X$7,Sheet1!P16&lt;Sheet2!$Y$7,Sheet1!Q16&lt;Sheet2!$Z$7),IF(Sheet1!R16+Sheet2!$AB$6&gt;=Sheet2!$AA$6,Sheet2!$W$7,IF(AND(Sheet1!O16&lt;Sheet2!$X$6,Sheet1!P16&lt;Sheet2!$Y$6,Sheet1!Q16&lt;Sheet2!$Z$6),IF(Sheet1!R16+Sheet2!$AB$5&gt;=Sheet2!$AA$5,Sheet2!$W$6,IF(AND(Sheet1!O16&lt;Sheet2!$X$5,Sheet1!P16&lt;Sheet2!$Y$5,Sheet1!Q16&lt;Sheet2!$Z$5),IF(Sheet1!R16+Sheet2!$AB$4&gt;=Sheet2!$AA$4,Sheet2!$W$5,IF(AND(Sheet1!O16&lt;Sheet2!$X$4,Sheet1!P16&lt;Sheet2!$Y$4,Sheet1!Q16&lt;Sheet2!$Z$4),Sheet2!$W$4,Sheet2!$W$5)),Sheet2!$W$6)),Sheet2!$W$7)),"超出《标准包裹》尺寸"))</f>
        <v>标准信封</v>
      </c>
      <c r="T16" s="69">
        <f>H16*7-N16-M16</f>
        <v>12.9395</v>
      </c>
      <c r="U16" s="73">
        <f>T16/(L16*7)*100%</f>
        <v>0.142301770592764</v>
      </c>
      <c r="Y16" s="76"/>
    </row>
    <row r="17" ht="15" customHeight="1" spans="1:25">
      <c r="A17" s="46"/>
      <c r="B17" s="47"/>
      <c r="C17" s="45" t="s">
        <v>36</v>
      </c>
      <c r="D17" s="39">
        <f>IF(S17=Sheet2!$W$4,INDEX(Sheet2!$J$5:$Q$5,1,MATCH(Sheet1!C17,Sheet2!$J$3:$Q$3,0)),IF(S17=Sheet2!$W$5,INDEX(Sheet2!$J$6:$Q$8,MATCH(Sheet1!R17,Sheet2!$H$6:$H$8,1),MATCH(Sheet1!C17,Sheet2!$J$3:$Q$3,0)),IF(S17=Sheet2!$W$6,INDEX(Sheet2!$J$9:$Q$9,1,MATCH(Sheet1!C17,Sheet2!$J$3:$Q$3,0)),IF(S17=Sheet2!$W$7,INDEX(Sheet2!$J$10:$Q$24,MATCH(Sheet1!R17,Sheet2!$H$10:$H$24,1),MATCH(Sheet1!C17,Sheet2!$J$3:$Q$3,0)),"ERR COUNTRY!"))))</f>
        <v>27.92</v>
      </c>
      <c r="E17" s="52">
        <f t="shared" si="0"/>
        <v>14.7</v>
      </c>
      <c r="F17" s="53" t="s">
        <v>30</v>
      </c>
      <c r="G17" s="52">
        <f t="shared" si="1"/>
        <v>16.3333333333333</v>
      </c>
      <c r="H17" s="52">
        <f t="shared" si="2"/>
        <v>39.0466666666667</v>
      </c>
      <c r="I17" s="52" t="s">
        <v>39</v>
      </c>
      <c r="J17" s="52">
        <f>IF(OR(C17=Sheet2!$A$10),0,L17*0.2)</f>
        <v>19.6</v>
      </c>
      <c r="K17" s="52">
        <f t="shared" si="3"/>
        <v>58.6466666666667</v>
      </c>
      <c r="L17" s="58">
        <v>98</v>
      </c>
      <c r="M17" s="52">
        <f>R17*$B$1</f>
        <v>7.6</v>
      </c>
      <c r="N17" s="24">
        <v>9.48</v>
      </c>
      <c r="O17" s="24">
        <v>24</v>
      </c>
      <c r="P17" s="24">
        <v>22</v>
      </c>
      <c r="Q17" s="24">
        <v>2.3</v>
      </c>
      <c r="R17" s="24">
        <v>200</v>
      </c>
      <c r="S17" s="26" t="str">
        <f>IF(Sheet1!R17+Sheet2!$AB$7&gt;=Sheet2!$AA$7,"超出《标准包裹》重量",IF(AND(Sheet1!O17&lt;Sheet2!$X$7,Sheet1!P17&lt;Sheet2!$Y$7,Sheet1!Q17&lt;Sheet2!$Z$7),IF(Sheet1!R17+Sheet2!$AB$6&gt;=Sheet2!$AA$6,Sheet2!$W$7,IF(AND(Sheet1!O17&lt;Sheet2!$X$6,Sheet1!P17&lt;Sheet2!$Y$6,Sheet1!Q17&lt;Sheet2!$Z$6),IF(Sheet1!R17+Sheet2!$AB$5&gt;=Sheet2!$AA$5,Sheet2!$W$6,IF(AND(Sheet1!O17&lt;Sheet2!$X$5,Sheet1!P17&lt;Sheet2!$Y$5,Sheet1!Q17&lt;Sheet2!$Z$5),IF(Sheet1!R17+Sheet2!$AB$4&gt;=Sheet2!$AA$4,Sheet2!$W$5,IF(AND(Sheet1!O17&lt;Sheet2!$X$4,Sheet1!P17&lt;Sheet2!$Y$4,Sheet1!Q17&lt;Sheet2!$Z$4),Sheet2!$W$4,Sheet2!$W$5)),Sheet2!$W$6)),Sheet2!$W$7)),"超出《标准包裹》尺寸"))</f>
        <v>标准信封</v>
      </c>
      <c r="T17" s="69">
        <f>H17*0.67-N17-M17</f>
        <v>9.08126666666667</v>
      </c>
      <c r="U17" s="73">
        <f>T17/(L17*0.67)*100%</f>
        <v>0.138307442379937</v>
      </c>
      <c r="Y17" s="76"/>
    </row>
    <row r="18" ht="15" customHeight="1" spans="1:25">
      <c r="A18" s="46"/>
      <c r="B18" s="47"/>
      <c r="C18" s="45" t="s">
        <v>37</v>
      </c>
      <c r="D18" s="39">
        <f>IF(S18=Sheet2!$W$4,INDEX(Sheet2!$J$5:$Q$5,1,MATCH(Sheet1!C18,Sheet2!$J$3:$Q$3,0)),IF(S18=Sheet2!$W$5,INDEX(Sheet2!$J$6:$Q$8,MATCH(Sheet1!R18,Sheet2!$H$6:$H$8,1),MATCH(Sheet1!C18,Sheet2!$J$3:$Q$3,0)),IF(S18=Sheet2!$W$6,INDEX(Sheet2!$J$9:$Q$9,1,MATCH(Sheet1!C18,Sheet2!$J$3:$Q$3,0)),IF(S18=Sheet2!$W$7,INDEX(Sheet2!$J$10:$Q$24,MATCH(Sheet1!R18,Sheet2!$H$10:$H$24,1),MATCH(Sheet1!C18,Sheet2!$J$3:$Q$3,0)),"ERR COUNTRY!"))))</f>
        <v>4.66</v>
      </c>
      <c r="E18" s="52">
        <f t="shared" si="0"/>
        <v>5.7</v>
      </c>
      <c r="F18" s="53" t="s">
        <v>30</v>
      </c>
      <c r="G18" s="52">
        <f t="shared" si="1"/>
        <v>6.33333333333333</v>
      </c>
      <c r="H18" s="52">
        <f t="shared" si="2"/>
        <v>21.3066666666667</v>
      </c>
      <c r="I18" s="52" t="s">
        <v>39</v>
      </c>
      <c r="J18" s="52">
        <f>IF(OR(C18=Sheet2!$A$10),0,L18*0.2)</f>
        <v>7.6</v>
      </c>
      <c r="K18" s="52">
        <f t="shared" si="3"/>
        <v>28.9066666666667</v>
      </c>
      <c r="L18" s="58">
        <v>38</v>
      </c>
      <c r="M18" s="52">
        <f>R18*$B$1</f>
        <v>7.6</v>
      </c>
      <c r="N18" s="24">
        <v>9.48</v>
      </c>
      <c r="O18" s="24">
        <v>24</v>
      </c>
      <c r="P18" s="24">
        <v>22</v>
      </c>
      <c r="Q18" s="24">
        <v>2.3</v>
      </c>
      <c r="R18" s="24">
        <v>200</v>
      </c>
      <c r="S18" s="26" t="str">
        <f>IF(Sheet1!R18+Sheet2!$AB$7&gt;=Sheet2!$AA$7,"超出《标准包裹》重量",IF(AND(Sheet1!O18&lt;Sheet2!$X$7,Sheet1!P18&lt;Sheet2!$Y$7,Sheet1!Q18&lt;Sheet2!$Z$7),IF(Sheet1!R18+Sheet2!$AB$6&gt;=Sheet2!$AA$6,Sheet2!$W$7,IF(AND(Sheet1!O18&lt;Sheet2!$X$6,Sheet1!P18&lt;Sheet2!$Y$6,Sheet1!Q18&lt;Sheet2!$Z$6),IF(Sheet1!R18+Sheet2!$AB$5&gt;=Sheet2!$AA$5,Sheet2!$W$6,IF(AND(Sheet1!O18&lt;Sheet2!$X$5,Sheet1!P18&lt;Sheet2!$Y$5,Sheet1!Q18&lt;Sheet2!$Z$5),IF(Sheet1!R18+Sheet2!$AB$4&gt;=Sheet2!$AA$4,Sheet2!$W$5,IF(AND(Sheet1!O18&lt;Sheet2!$X$4,Sheet1!P18&lt;Sheet2!$Y$4,Sheet1!Q18&lt;Sheet2!$Z$4),Sheet2!$W$4,Sheet2!$W$5)),Sheet2!$W$6)),Sheet2!$W$7)),"超出《标准包裹》尺寸"))</f>
        <v>标准信封</v>
      </c>
      <c r="T18" s="69">
        <f>H18*1.48-N18-M18</f>
        <v>14.4538666666667</v>
      </c>
      <c r="U18" s="73">
        <f>T18/(L18*1.48)*100%</f>
        <v>0.257003319108582</v>
      </c>
      <c r="Y18" s="76"/>
    </row>
    <row r="19" spans="1:25">
      <c r="A19" s="46"/>
      <c r="B19" s="47"/>
      <c r="C19" s="45"/>
      <c r="D19" s="39">
        <v>0</v>
      </c>
      <c r="E19" s="52">
        <f t="shared" ref="E19:E82" si="4">L19*0.15</f>
        <v>11.7</v>
      </c>
      <c r="F19" s="53" t="s">
        <v>39</v>
      </c>
      <c r="G19" s="52">
        <v>0</v>
      </c>
      <c r="H19" s="52">
        <f t="shared" ref="H19:H82" si="5">IF(F19="是",IF(I19="是",L19-SUM(D19,E19,G19,J19),L19-SUM(D19,E19,G19)),IF(I19="是",L19-SUM(D19,E19,J19),L19-SUM(D19,E19)))</f>
        <v>66.3</v>
      </c>
      <c r="I19" s="52" t="s">
        <v>30</v>
      </c>
      <c r="J19" s="52">
        <f>IF(OR(C19=Sheet2!$A$10),0,L19*0.2)</f>
        <v>0</v>
      </c>
      <c r="K19" s="52">
        <f t="shared" ref="K19:K82" si="6">H19+J19</f>
        <v>66.3</v>
      </c>
      <c r="L19" s="59">
        <v>78</v>
      </c>
      <c r="M19" s="52">
        <f>R19*$B$1</f>
        <v>7.6</v>
      </c>
      <c r="N19" s="24">
        <v>9.48</v>
      </c>
      <c r="O19" s="64"/>
      <c r="P19" s="64"/>
      <c r="R19" s="24">
        <v>200</v>
      </c>
      <c r="S19" s="70"/>
      <c r="T19" s="69">
        <f>H19*0.43-N19-M19</f>
        <v>11.429</v>
      </c>
      <c r="U19" s="73">
        <f>T19/(L19*0.43)*100%</f>
        <v>0.340757304710793</v>
      </c>
      <c r="Y19" s="76"/>
    </row>
    <row r="20" ht="15" customHeight="1" spans="1:25">
      <c r="A20" s="77" t="s">
        <v>38</v>
      </c>
      <c r="B20" s="44" t="s">
        <v>40</v>
      </c>
      <c r="C20" s="45" t="s">
        <v>29</v>
      </c>
      <c r="D20" s="39">
        <f>IF(S20=Sheet2!$W$4,INDEX(Sheet2!$J$5:$Q$5,1,MATCH(Sheet1!C20,Sheet2!$J$3:$Q$3,0)),IF(S20=Sheet2!$W$5,INDEX(Sheet2!$J$6:$Q$8,MATCH(Sheet1!R20,Sheet2!$H$6:$H$8,1),MATCH(Sheet1!C20,Sheet2!$J$3:$Q$3,0)),IF(S20=Sheet2!$W$6,INDEX(Sheet2!$J$9:$Q$9,1,MATCH(Sheet1!C20,Sheet2!$J$3:$Q$3,0)),IF(S20=Sheet2!$W$7,INDEX(Sheet2!$J$10:$Q$24,MATCH(Sheet1!R20,Sheet2!$H$10:$H$24,1),MATCH(Sheet1!C20,Sheet2!$J$3:$Q$3,0)),"ERR COUNTRY!"))))</f>
        <v>1.91</v>
      </c>
      <c r="E20" s="52">
        <f t="shared" si="4"/>
        <v>1.6485</v>
      </c>
      <c r="F20" s="53" t="s">
        <v>30</v>
      </c>
      <c r="G20" s="52">
        <f t="shared" ref="G20:G27" si="7">L20-L20/(1+20%)</f>
        <v>1.83166666666667</v>
      </c>
      <c r="H20" s="52">
        <f t="shared" si="5"/>
        <v>3.40183333333333</v>
      </c>
      <c r="I20" s="52" t="s">
        <v>30</v>
      </c>
      <c r="J20" s="52">
        <f>IF(OR(C20=Sheet2!$A$10),0,L20*0.2)</f>
        <v>2.198</v>
      </c>
      <c r="K20" s="52">
        <f t="shared" si="6"/>
        <v>5.59983333333333</v>
      </c>
      <c r="L20" s="58">
        <v>10.99</v>
      </c>
      <c r="M20" s="52">
        <f>R20*$B$1</f>
        <v>9.5</v>
      </c>
      <c r="N20" s="24">
        <v>11.29</v>
      </c>
      <c r="O20" s="24">
        <v>24</v>
      </c>
      <c r="P20" s="24">
        <v>22</v>
      </c>
      <c r="Q20" s="24">
        <v>2.3</v>
      </c>
      <c r="R20" s="24">
        <v>250</v>
      </c>
      <c r="S20" s="26" t="str">
        <f>IF(Sheet1!R20+Sheet2!$AB$7&gt;=Sheet2!$AA$7,"超出《标准包裹》重量",IF(AND(Sheet1!O20&lt;Sheet2!$X$7,Sheet1!P20&lt;Sheet2!$Y$7,Sheet1!Q20&lt;Sheet2!$Z$7),IF(Sheet1!R20+Sheet2!$AB$6&gt;=Sheet2!$AA$6,Sheet2!$W$7,IF(AND(Sheet1!O20&lt;Sheet2!$X$6,Sheet1!P20&lt;Sheet2!$Y$6,Sheet1!Q20&lt;Sheet2!$Z$6),IF(Sheet1!R20+Sheet2!$AB$5&gt;=Sheet2!$AA$5,Sheet2!$W$6,IF(AND(Sheet1!O20&lt;Sheet2!$X$5,Sheet1!P20&lt;Sheet2!$Y$5,Sheet1!Q20&lt;Sheet2!$Z$5),IF(Sheet1!R20+Sheet2!$AB$4&gt;=Sheet2!$AA$4,Sheet2!$W$5,IF(AND(Sheet1!O20&lt;Sheet2!$X$4,Sheet1!P20&lt;Sheet2!$Y$4,Sheet1!Q20&lt;Sheet2!$Z$4),Sheet2!$W$4,Sheet2!$W$5)),Sheet2!$W$6)),Sheet2!$W$7)),"超出《标准包裹》尺寸"))</f>
        <v>标准信封</v>
      </c>
      <c r="T20" s="69">
        <f>H20*8.3-N20-M20</f>
        <v>7.44521666666666</v>
      </c>
      <c r="U20" s="73">
        <f>T20/(L20*8.3)*100%</f>
        <v>0.0816209332324749</v>
      </c>
      <c r="W20" s="74"/>
      <c r="X20" s="74"/>
      <c r="Y20" s="76"/>
    </row>
    <row r="21" ht="15" customHeight="1" spans="1:25">
      <c r="A21" s="46"/>
      <c r="B21" s="47"/>
      <c r="C21" s="45" t="s">
        <v>31</v>
      </c>
      <c r="D21" s="39">
        <f>IF(S21=Sheet2!$W$4,INDEX(Sheet2!$J$5:$Q$5,1,MATCH(Sheet1!C21,Sheet2!$J$3:$Q$3,0)),IF(S21=Sheet2!$W$5,INDEX(Sheet2!$J$6:$Q$8,MATCH(Sheet1!R21,Sheet2!$H$6:$H$8,1),MATCH(Sheet1!C21,Sheet2!$J$3:$Q$3,0)),IF(S21=Sheet2!$W$6,INDEX(Sheet2!$J$9:$Q$9,1,MATCH(Sheet1!C21,Sheet2!$J$3:$Q$3,0)),IF(S21=Sheet2!$W$7,INDEX(Sheet2!$J$10:$Q$24,MATCH(Sheet1!R21,Sheet2!$H$10:$H$24,1),MATCH(Sheet1!C21,Sheet2!$J$3:$Q$3,0)),"ERR COUNTRY!"))))</f>
        <v>2.52</v>
      </c>
      <c r="E21" s="52">
        <f t="shared" si="4"/>
        <v>1.9485</v>
      </c>
      <c r="F21" s="53" t="s">
        <v>30</v>
      </c>
      <c r="G21" s="52">
        <f t="shared" si="7"/>
        <v>2.165</v>
      </c>
      <c r="H21" s="52">
        <f t="shared" si="5"/>
        <v>3.7585</v>
      </c>
      <c r="I21" s="52" t="s">
        <v>30</v>
      </c>
      <c r="J21" s="52">
        <f>IF(OR(C21=Sheet2!$A$10),0,L21*0.2)</f>
        <v>2.598</v>
      </c>
      <c r="K21" s="52">
        <f t="shared" si="6"/>
        <v>6.3565</v>
      </c>
      <c r="L21" s="58">
        <v>12.99</v>
      </c>
      <c r="M21" s="52">
        <f>R21*$B$1</f>
        <v>9.5</v>
      </c>
      <c r="N21" s="24">
        <v>11.29</v>
      </c>
      <c r="O21" s="24">
        <v>24</v>
      </c>
      <c r="P21" s="24">
        <v>22</v>
      </c>
      <c r="Q21" s="24">
        <v>2.3</v>
      </c>
      <c r="R21" s="24">
        <v>250</v>
      </c>
      <c r="S21" s="26" t="str">
        <f>IF(Sheet1!R21+Sheet2!$AB$7&gt;=Sheet2!$AA$7,"超出《标准包裹》重量",IF(AND(Sheet1!O21&lt;Sheet2!$X$7,Sheet1!P21&lt;Sheet2!$Y$7,Sheet1!Q21&lt;Sheet2!$Z$7),IF(Sheet1!R21+Sheet2!$AB$6&gt;=Sheet2!$AA$6,Sheet2!$W$7,IF(AND(Sheet1!O21&lt;Sheet2!$X$6,Sheet1!P21&lt;Sheet2!$Y$6,Sheet1!Q21&lt;Sheet2!$Z$6),IF(Sheet1!R21+Sheet2!$AB$5&gt;=Sheet2!$AA$5,Sheet2!$W$6,IF(AND(Sheet1!O21&lt;Sheet2!$X$5,Sheet1!P21&lt;Sheet2!$Y$5,Sheet1!Q21&lt;Sheet2!$Z$5),IF(Sheet1!R21+Sheet2!$AB$4&gt;=Sheet2!$AA$4,Sheet2!$W$5,IF(AND(Sheet1!O21&lt;Sheet2!$X$4,Sheet1!P21&lt;Sheet2!$Y$4,Sheet1!Q21&lt;Sheet2!$Z$4),Sheet2!$W$4,Sheet2!$W$5)),Sheet2!$W$6)),Sheet2!$W$7)),"超出《标准包裹》尺寸"))</f>
        <v>标准信封</v>
      </c>
      <c r="T21" s="69">
        <f t="shared" ref="T21:T25" si="8">H21*7.1-N21-M21</f>
        <v>5.89535000000001</v>
      </c>
      <c r="U21" s="73">
        <f>T21/(L21*7)*100%</f>
        <v>0.0648339381942154</v>
      </c>
      <c r="X21" s="74"/>
      <c r="Y21" s="76"/>
    </row>
    <row r="22" ht="15" customHeight="1" spans="1:25">
      <c r="A22" s="46"/>
      <c r="B22" s="47"/>
      <c r="C22" s="45" t="s">
        <v>32</v>
      </c>
      <c r="D22" s="39">
        <f>IF(S22=Sheet2!$W$4,INDEX(Sheet2!$J$5:$Q$5,1,MATCH(Sheet1!C22,Sheet2!$J$3:$Q$3,0)),IF(S22=Sheet2!$W$5,INDEX(Sheet2!$J$6:$Q$8,MATCH(Sheet1!R22,Sheet2!$H$6:$H$8,1),MATCH(Sheet1!C22,Sheet2!$J$3:$Q$3,0)),IF(S22=Sheet2!$W$6,INDEX(Sheet2!$J$9:$Q$9,1,MATCH(Sheet1!C22,Sheet2!$J$3:$Q$3,0)),IF(S22=Sheet2!$W$7,INDEX(Sheet2!$J$10:$Q$24,MATCH(Sheet1!R22,Sheet2!$H$10:$H$24,1),MATCH(Sheet1!C22,Sheet2!$J$3:$Q$3,0)),"ERR COUNTRY!"))))</f>
        <v>3.58</v>
      </c>
      <c r="E22" s="52">
        <f t="shared" si="4"/>
        <v>2.2485</v>
      </c>
      <c r="F22" s="53" t="s">
        <v>30</v>
      </c>
      <c r="G22" s="52">
        <f t="shared" si="7"/>
        <v>2.49833333333333</v>
      </c>
      <c r="H22" s="52">
        <f t="shared" si="5"/>
        <v>3.66516666666667</v>
      </c>
      <c r="I22" s="52" t="s">
        <v>30</v>
      </c>
      <c r="J22" s="52">
        <f>IF(OR(C22=Sheet2!$A$10),0,L22*0.2)</f>
        <v>2.998</v>
      </c>
      <c r="K22" s="52">
        <f t="shared" si="6"/>
        <v>6.66316666666667</v>
      </c>
      <c r="L22" s="58">
        <v>14.99</v>
      </c>
      <c r="M22" s="52">
        <f>R22*$B$1</f>
        <v>9.5</v>
      </c>
      <c r="N22" s="24">
        <v>11.29</v>
      </c>
      <c r="O22" s="24">
        <v>24</v>
      </c>
      <c r="P22" s="24">
        <v>22</v>
      </c>
      <c r="Q22" s="24">
        <v>2.3</v>
      </c>
      <c r="R22" s="24">
        <v>250</v>
      </c>
      <c r="S22" s="26" t="str">
        <f>IF(Sheet1!R22+Sheet2!$AB$7&gt;=Sheet2!$AA$7,"超出《标准包裹》重量",IF(AND(Sheet1!O22&lt;Sheet2!$X$7,Sheet1!P22&lt;Sheet2!$Y$7,Sheet1!Q22&lt;Sheet2!$Z$7),IF(Sheet1!R22+Sheet2!$AB$6&gt;=Sheet2!$AA$6,Sheet2!$W$7,IF(AND(Sheet1!O22&lt;Sheet2!$X$6,Sheet1!P22&lt;Sheet2!$Y$6,Sheet1!Q22&lt;Sheet2!$Z$6),IF(Sheet1!R22+Sheet2!$AB$5&gt;=Sheet2!$AA$5,Sheet2!$W$6,IF(AND(Sheet1!O22&lt;Sheet2!$X$5,Sheet1!P22&lt;Sheet2!$Y$5,Sheet1!Q22&lt;Sheet2!$Z$5),IF(Sheet1!R22+Sheet2!$AB$4&gt;=Sheet2!$AA$4,Sheet2!$W$5,IF(AND(Sheet1!O22&lt;Sheet2!$X$4,Sheet1!P22&lt;Sheet2!$Y$4,Sheet1!Q22&lt;Sheet2!$Z$4),Sheet2!$W$4,Sheet2!$W$5)),Sheet2!$W$6)),Sheet2!$W$7)),"超出《标准包裹》尺寸"))</f>
        <v>标准信封</v>
      </c>
      <c r="T22" s="69">
        <f t="shared" si="8"/>
        <v>5.23268333333333</v>
      </c>
      <c r="U22" s="73">
        <f>T22/(L22*7)*100%</f>
        <v>0.0498683249150226</v>
      </c>
      <c r="Y22" s="76"/>
    </row>
    <row r="23" ht="15" customHeight="1" spans="1:25">
      <c r="A23" s="46"/>
      <c r="B23" s="47"/>
      <c r="C23" s="45" t="s">
        <v>33</v>
      </c>
      <c r="D23" s="39">
        <f>IF(S23=Sheet2!$W$4,INDEX(Sheet2!$J$5:$Q$5,1,MATCH(Sheet1!C23,Sheet2!$J$3:$Q$3,0)),IF(S23=Sheet2!$W$5,INDEX(Sheet2!$J$6:$Q$8,MATCH(Sheet1!R23,Sheet2!$H$6:$H$8,1),MATCH(Sheet1!C23,Sheet2!$J$3:$Q$3,0)),IF(S23=Sheet2!$W$6,INDEX(Sheet2!$J$9:$Q$9,1,MATCH(Sheet1!C23,Sheet2!$J$3:$Q$3,0)),IF(S23=Sheet2!$W$7,INDEX(Sheet2!$J$10:$Q$24,MATCH(Sheet1!R23,Sheet2!$H$10:$H$24,1),MATCH(Sheet1!C23,Sheet2!$J$3:$Q$3,0)),"ERR COUNTRY!"))))</f>
        <v>3.34</v>
      </c>
      <c r="E23" s="52">
        <f t="shared" si="4"/>
        <v>2.2485</v>
      </c>
      <c r="F23" s="53" t="s">
        <v>30</v>
      </c>
      <c r="G23" s="52">
        <f t="shared" si="7"/>
        <v>2.49833333333333</v>
      </c>
      <c r="H23" s="52">
        <f t="shared" si="5"/>
        <v>3.90516666666667</v>
      </c>
      <c r="I23" s="52" t="s">
        <v>30</v>
      </c>
      <c r="J23" s="52">
        <f>IF(OR(C23=Sheet2!$A$10),0,L23*0.2)</f>
        <v>2.998</v>
      </c>
      <c r="K23" s="52">
        <f t="shared" si="6"/>
        <v>6.90316666666667</v>
      </c>
      <c r="L23" s="58">
        <v>14.99</v>
      </c>
      <c r="M23" s="52">
        <f>R23*$B$1</f>
        <v>9.5</v>
      </c>
      <c r="N23" s="24">
        <v>11.29</v>
      </c>
      <c r="O23" s="24">
        <v>24</v>
      </c>
      <c r="P23" s="24">
        <v>22</v>
      </c>
      <c r="Q23" s="24">
        <v>2.3</v>
      </c>
      <c r="R23" s="24">
        <v>250</v>
      </c>
      <c r="S23" s="26" t="str">
        <f>IF(Sheet1!R23+Sheet2!$AB$7&gt;=Sheet2!$AA$7,"超出《标准包裹》重量",IF(AND(Sheet1!O23&lt;Sheet2!$X$7,Sheet1!P23&lt;Sheet2!$Y$7,Sheet1!Q23&lt;Sheet2!$Z$7),IF(Sheet1!R23+Sheet2!$AB$6&gt;=Sheet2!$AA$6,Sheet2!$W$7,IF(AND(Sheet1!O23&lt;Sheet2!$X$6,Sheet1!P23&lt;Sheet2!$Y$6,Sheet1!Q23&lt;Sheet2!$Z$6),IF(Sheet1!R23+Sheet2!$AB$5&gt;=Sheet2!$AA$5,Sheet2!$W$6,IF(AND(Sheet1!O23&lt;Sheet2!$X$5,Sheet1!P23&lt;Sheet2!$Y$5,Sheet1!Q23&lt;Sheet2!$Z$5),IF(Sheet1!R23+Sheet2!$AB$4&gt;=Sheet2!$AA$4,Sheet2!$W$5,IF(AND(Sheet1!O23&lt;Sheet2!$X$4,Sheet1!P23&lt;Sheet2!$Y$4,Sheet1!Q23&lt;Sheet2!$Z$4),Sheet2!$W$4,Sheet2!$W$5)),Sheet2!$W$6)),Sheet2!$W$7)),"超出《标准包裹》尺寸"))</f>
        <v>标准信封</v>
      </c>
      <c r="T23" s="69">
        <f t="shared" si="8"/>
        <v>6.93668333333334</v>
      </c>
      <c r="U23" s="73">
        <f>T23/(L23*7)*100%</f>
        <v>0.0661077226087234</v>
      </c>
      <c r="W23" s="75"/>
      <c r="X23" s="75"/>
      <c r="Y23" s="76"/>
    </row>
    <row r="24" ht="15" customHeight="1" spans="1:25">
      <c r="A24" s="46"/>
      <c r="B24" s="47"/>
      <c r="C24" s="45" t="s">
        <v>34</v>
      </c>
      <c r="D24" s="39">
        <f>IF(S24=Sheet2!$W$4,INDEX(Sheet2!$J$5:$Q$5,1,MATCH(Sheet1!C24,Sheet2!$J$3:$Q$3,0)),IF(S24=Sheet2!$W$5,INDEX(Sheet2!$J$6:$Q$8,MATCH(Sheet1!R24,Sheet2!$H$6:$H$8,1),MATCH(Sheet1!C24,Sheet2!$J$3:$Q$3,0)),IF(S24=Sheet2!$W$6,INDEX(Sheet2!$J$9:$Q$9,1,MATCH(Sheet1!C24,Sheet2!$J$3:$Q$3,0)),IF(S24=Sheet2!$W$7,INDEX(Sheet2!$J$10:$Q$24,MATCH(Sheet1!R24,Sheet2!$H$10:$H$24,1),MATCH(Sheet1!C24,Sheet2!$J$3:$Q$3,0)),"ERR COUNTRY!"))))</f>
        <v>3.18</v>
      </c>
      <c r="E24" s="52">
        <f t="shared" si="4"/>
        <v>2.2485</v>
      </c>
      <c r="F24" s="53" t="s">
        <v>30</v>
      </c>
      <c r="G24" s="52">
        <f t="shared" si="7"/>
        <v>2.49833333333333</v>
      </c>
      <c r="H24" s="52">
        <f t="shared" si="5"/>
        <v>4.06516666666667</v>
      </c>
      <c r="I24" s="52" t="s">
        <v>30</v>
      </c>
      <c r="J24" s="52">
        <f>IF(OR(C24=Sheet2!$A$10),0,L24*0.2)</f>
        <v>2.998</v>
      </c>
      <c r="K24" s="52">
        <f t="shared" si="6"/>
        <v>7.06316666666667</v>
      </c>
      <c r="L24" s="58">
        <v>14.99</v>
      </c>
      <c r="M24" s="52">
        <f>R24*$B$1</f>
        <v>9.5</v>
      </c>
      <c r="N24" s="24">
        <v>11.29</v>
      </c>
      <c r="O24" s="24">
        <v>24</v>
      </c>
      <c r="P24" s="24">
        <v>22</v>
      </c>
      <c r="Q24" s="24">
        <v>2.3</v>
      </c>
      <c r="R24" s="24">
        <v>250</v>
      </c>
      <c r="S24" s="26" t="str">
        <f>IF(Sheet1!R24+Sheet2!$AB$7&gt;=Sheet2!$AA$7,"超出《标准包裹》重量",IF(AND(Sheet1!O24&lt;Sheet2!$X$7,Sheet1!P24&lt;Sheet2!$Y$7,Sheet1!Q24&lt;Sheet2!$Z$7),IF(Sheet1!R24+Sheet2!$AB$6&gt;=Sheet2!$AA$6,Sheet2!$W$7,IF(AND(Sheet1!O24&lt;Sheet2!$X$6,Sheet1!P24&lt;Sheet2!$Y$6,Sheet1!Q24&lt;Sheet2!$Z$6),IF(Sheet1!R24+Sheet2!$AB$5&gt;=Sheet2!$AA$5,Sheet2!$W$6,IF(AND(Sheet1!O24&lt;Sheet2!$X$5,Sheet1!P24&lt;Sheet2!$Y$5,Sheet1!Q24&lt;Sheet2!$Z$5),IF(Sheet1!R24+Sheet2!$AB$4&gt;=Sheet2!$AA$4,Sheet2!$W$5,IF(AND(Sheet1!O24&lt;Sheet2!$X$4,Sheet1!P24&lt;Sheet2!$Y$4,Sheet1!Q24&lt;Sheet2!$Z$4),Sheet2!$W$4,Sheet2!$W$5)),Sheet2!$W$6)),Sheet2!$W$7)),"超出《标准包裹》尺寸"))</f>
        <v>标准信封</v>
      </c>
      <c r="T24" s="69">
        <f t="shared" si="8"/>
        <v>8.07268333333334</v>
      </c>
      <c r="U24" s="73">
        <f>T24/(L24*7)*100%</f>
        <v>0.0769339877378571</v>
      </c>
      <c r="Y24" s="76"/>
    </row>
    <row r="25" ht="15" customHeight="1" spans="1:25">
      <c r="A25" s="46"/>
      <c r="B25" s="47"/>
      <c r="C25" s="45" t="s">
        <v>35</v>
      </c>
      <c r="D25" s="39">
        <f>IF(S25=Sheet2!$W$4,INDEX(Sheet2!$J$5:$Q$5,1,MATCH(Sheet1!C25,Sheet2!$J$3:$Q$3,0)),IF(S25=Sheet2!$W$5,INDEX(Sheet2!$J$6:$Q$8,MATCH(Sheet1!R25,Sheet2!$H$6:$H$8,1),MATCH(Sheet1!C25,Sheet2!$J$3:$Q$3,0)),IF(S25=Sheet2!$W$6,INDEX(Sheet2!$J$9:$Q$9,1,MATCH(Sheet1!C25,Sheet2!$J$3:$Q$3,0)),IF(S25=Sheet2!$W$7,INDEX(Sheet2!$J$10:$Q$24,MATCH(Sheet1!R25,Sheet2!$H$10:$H$24,1),MATCH(Sheet1!C25,Sheet2!$J$3:$Q$3,0)),"ERR COUNTRY!"))))</f>
        <v>2.11</v>
      </c>
      <c r="E25" s="52">
        <f t="shared" si="4"/>
        <v>1.9485</v>
      </c>
      <c r="F25" s="53" t="s">
        <v>30</v>
      </c>
      <c r="G25" s="52">
        <f t="shared" si="7"/>
        <v>2.165</v>
      </c>
      <c r="H25" s="52">
        <f t="shared" si="5"/>
        <v>4.1685</v>
      </c>
      <c r="I25" s="52" t="s">
        <v>30</v>
      </c>
      <c r="J25" s="52">
        <f>IF(OR(C25=Sheet2!$A$10),0,L25*0.2)</f>
        <v>2.598</v>
      </c>
      <c r="K25" s="52">
        <f t="shared" si="6"/>
        <v>6.7665</v>
      </c>
      <c r="L25" s="58">
        <v>12.99</v>
      </c>
      <c r="M25" s="52">
        <f>R25*$B$1</f>
        <v>9.5</v>
      </c>
      <c r="N25" s="24">
        <v>11.29</v>
      </c>
      <c r="O25" s="24">
        <v>24</v>
      </c>
      <c r="P25" s="24">
        <v>22</v>
      </c>
      <c r="Q25" s="24">
        <v>2.3</v>
      </c>
      <c r="R25" s="24">
        <v>250</v>
      </c>
      <c r="S25" s="26" t="str">
        <f>IF(Sheet1!R25+Sheet2!$AB$7&gt;=Sheet2!$AA$7,"超出《标准包裹》重量",IF(AND(Sheet1!O25&lt;Sheet2!$X$7,Sheet1!P25&lt;Sheet2!$Y$7,Sheet1!Q25&lt;Sheet2!$Z$7),IF(Sheet1!R25+Sheet2!$AB$6&gt;=Sheet2!$AA$6,Sheet2!$W$7,IF(AND(Sheet1!O25&lt;Sheet2!$X$6,Sheet1!P25&lt;Sheet2!$Y$6,Sheet1!Q25&lt;Sheet2!$Z$6),IF(Sheet1!R25+Sheet2!$AB$5&gt;=Sheet2!$AA$5,Sheet2!$W$6,IF(AND(Sheet1!O25&lt;Sheet2!$X$5,Sheet1!P25&lt;Sheet2!$Y$5,Sheet1!Q25&lt;Sheet2!$Z$5),IF(Sheet1!R25+Sheet2!$AB$4&gt;=Sheet2!$AA$4,Sheet2!$W$5,IF(AND(Sheet1!O25&lt;Sheet2!$X$4,Sheet1!P25&lt;Sheet2!$Y$4,Sheet1!Q25&lt;Sheet2!$Z$4),Sheet2!$W$4,Sheet2!$W$5)),Sheet2!$W$6)),Sheet2!$W$7)),"超出《标准包裹》尺寸"))</f>
        <v>标准信封</v>
      </c>
      <c r="T25" s="69">
        <f t="shared" si="8"/>
        <v>8.80635000000001</v>
      </c>
      <c r="U25" s="73">
        <f>T25/(L25*7)*100%</f>
        <v>0.0968475750577368</v>
      </c>
      <c r="Y25" s="76"/>
    </row>
    <row r="26" ht="15" customHeight="1" spans="1:25">
      <c r="A26" s="46"/>
      <c r="B26" s="47"/>
      <c r="C26" s="45" t="s">
        <v>36</v>
      </c>
      <c r="D26" s="39">
        <f>IF(S26=Sheet2!$W$4,INDEX(Sheet2!$J$5:$Q$5,1,MATCH(Sheet1!C26,Sheet2!$J$3:$Q$3,0)),IF(S26=Sheet2!$W$5,INDEX(Sheet2!$J$6:$Q$8,MATCH(Sheet1!R26,Sheet2!$H$6:$H$8,1),MATCH(Sheet1!C26,Sheet2!$J$3:$Q$3,0)),IF(S26=Sheet2!$W$6,INDEX(Sheet2!$J$9:$Q$9,1,MATCH(Sheet1!C26,Sheet2!$J$3:$Q$3,0)),IF(S26=Sheet2!$W$7,INDEX(Sheet2!$J$10:$Q$24,MATCH(Sheet1!R26,Sheet2!$H$10:$H$24,1),MATCH(Sheet1!C26,Sheet2!$J$3:$Q$3,0)),"ERR COUNTRY!"))))</f>
        <v>32.16</v>
      </c>
      <c r="E26" s="52">
        <f t="shared" si="4"/>
        <v>27</v>
      </c>
      <c r="F26" s="53" t="s">
        <v>30</v>
      </c>
      <c r="G26" s="52">
        <f t="shared" si="7"/>
        <v>30</v>
      </c>
      <c r="H26" s="52">
        <f t="shared" si="5"/>
        <v>54.84</v>
      </c>
      <c r="I26" s="52" t="s">
        <v>30</v>
      </c>
      <c r="J26" s="52">
        <f>IF(OR(C26=Sheet2!$A$10),0,L26*0.2)</f>
        <v>36</v>
      </c>
      <c r="K26" s="52">
        <f t="shared" si="6"/>
        <v>90.84</v>
      </c>
      <c r="L26" s="58">
        <v>180</v>
      </c>
      <c r="M26" s="52">
        <f>R26*$B$1</f>
        <v>9.5</v>
      </c>
      <c r="N26" s="24">
        <v>11.29</v>
      </c>
      <c r="O26" s="24">
        <v>24</v>
      </c>
      <c r="P26" s="24">
        <v>22</v>
      </c>
      <c r="Q26" s="24">
        <v>2.3</v>
      </c>
      <c r="R26" s="24">
        <v>250</v>
      </c>
      <c r="S26" s="26" t="str">
        <f>IF(Sheet1!R26+Sheet2!$AB$7&gt;=Sheet2!$AA$7,"超出《标准包裹》重量",IF(AND(Sheet1!O26&lt;Sheet2!$X$7,Sheet1!P26&lt;Sheet2!$Y$7,Sheet1!Q26&lt;Sheet2!$Z$7),IF(Sheet1!R26+Sheet2!$AB$6&gt;=Sheet2!$AA$6,Sheet2!$W$7,IF(AND(Sheet1!O26&lt;Sheet2!$X$6,Sheet1!P26&lt;Sheet2!$Y$6,Sheet1!Q26&lt;Sheet2!$Z$6),IF(Sheet1!R26+Sheet2!$AB$5&gt;=Sheet2!$AA$5,Sheet2!$W$6,IF(AND(Sheet1!O26&lt;Sheet2!$X$5,Sheet1!P26&lt;Sheet2!$Y$5,Sheet1!Q26&lt;Sheet2!$Z$5),IF(Sheet1!R26+Sheet2!$AB$4&gt;=Sheet2!$AA$4,Sheet2!$W$5,IF(AND(Sheet1!O26&lt;Sheet2!$X$4,Sheet1!P26&lt;Sheet2!$Y$4,Sheet1!Q26&lt;Sheet2!$Z$4),Sheet2!$W$4,Sheet2!$W$5)),Sheet2!$W$6)),Sheet2!$W$7)),"超出《标准包裹》尺寸"))</f>
        <v>标准信封</v>
      </c>
      <c r="T26" s="69">
        <f>H26*0.63-N26-M26</f>
        <v>13.7592</v>
      </c>
      <c r="U26" s="73">
        <f>T26/(L26*0.67)*100%</f>
        <v>0.114089552238806</v>
      </c>
      <c r="Y26" s="76"/>
    </row>
    <row r="27" ht="15" customHeight="1" spans="1:25">
      <c r="A27" s="46"/>
      <c r="B27" s="47"/>
      <c r="C27" s="45" t="s">
        <v>37</v>
      </c>
      <c r="D27" s="39">
        <f>IF(S27=Sheet2!$W$4,INDEX(Sheet2!$J$5:$Q$5,1,MATCH(Sheet1!C27,Sheet2!$J$3:$Q$3,0)),IF(S27=Sheet2!$W$5,INDEX(Sheet2!$J$6:$Q$8,MATCH(Sheet1!R27,Sheet2!$H$6:$H$8,1),MATCH(Sheet1!C27,Sheet2!$J$3:$Q$3,0)),IF(S27=Sheet2!$W$6,INDEX(Sheet2!$J$9:$Q$9,1,MATCH(Sheet1!C27,Sheet2!$J$3:$Q$3,0)),IF(S27=Sheet2!$W$7,INDEX(Sheet2!$J$10:$Q$24,MATCH(Sheet1!R27,Sheet2!$H$10:$H$24,1),MATCH(Sheet1!C27,Sheet2!$J$3:$Q$3,0)),"ERR COUNTRY!"))))</f>
        <v>4.91</v>
      </c>
      <c r="E27" s="52">
        <f t="shared" si="4"/>
        <v>5.7</v>
      </c>
      <c r="F27" s="53" t="s">
        <v>30</v>
      </c>
      <c r="G27" s="52">
        <f t="shared" si="7"/>
        <v>6.33333333333333</v>
      </c>
      <c r="H27" s="52">
        <f t="shared" si="5"/>
        <v>13.4566666666667</v>
      </c>
      <c r="I27" s="52" t="s">
        <v>30</v>
      </c>
      <c r="J27" s="52">
        <f>IF(OR(C27=Sheet2!$A$10),0,L27*0.2)</f>
        <v>7.6</v>
      </c>
      <c r="K27" s="52">
        <f t="shared" si="6"/>
        <v>21.0566666666667</v>
      </c>
      <c r="L27" s="58">
        <v>38</v>
      </c>
      <c r="M27" s="52">
        <f>R27*$B$1</f>
        <v>9.5</v>
      </c>
      <c r="N27" s="24">
        <v>11.29</v>
      </c>
      <c r="O27" s="24">
        <v>24</v>
      </c>
      <c r="P27" s="24">
        <v>22</v>
      </c>
      <c r="Q27" s="24">
        <v>2.3</v>
      </c>
      <c r="R27" s="24">
        <v>250</v>
      </c>
      <c r="S27" s="26" t="str">
        <f>IF(Sheet1!R27+Sheet2!$AB$7&gt;=Sheet2!$AA$7,"超出《标准包裹》重量",IF(AND(Sheet1!O27&lt;Sheet2!$X$7,Sheet1!P27&lt;Sheet2!$Y$7,Sheet1!Q27&lt;Sheet2!$Z$7),IF(Sheet1!R27+Sheet2!$AB$6&gt;=Sheet2!$AA$6,Sheet2!$W$7,IF(AND(Sheet1!O27&lt;Sheet2!$X$6,Sheet1!P27&lt;Sheet2!$Y$6,Sheet1!Q27&lt;Sheet2!$Z$6),IF(Sheet1!R27+Sheet2!$AB$5&gt;=Sheet2!$AA$5,Sheet2!$W$6,IF(AND(Sheet1!O27&lt;Sheet2!$X$5,Sheet1!P27&lt;Sheet2!$Y$5,Sheet1!Q27&lt;Sheet2!$Z$5),IF(Sheet1!R27+Sheet2!$AB$4&gt;=Sheet2!$AA$4,Sheet2!$W$5,IF(AND(Sheet1!O27&lt;Sheet2!$X$4,Sheet1!P27&lt;Sheet2!$Y$4,Sheet1!Q27&lt;Sheet2!$Z$4),Sheet2!$W$4,Sheet2!$W$5)),Sheet2!$W$6)),Sheet2!$W$7)),"超出《标准包裹》尺寸"))</f>
        <v>标准信封</v>
      </c>
      <c r="T27" s="69">
        <f>H27*1.38-N27-M27</f>
        <v>-2.2198</v>
      </c>
      <c r="U27" s="73">
        <f>T27/(L27*1.48)*100%</f>
        <v>-0.0394701280227596</v>
      </c>
      <c r="Y27" s="76"/>
    </row>
    <row r="28" spans="1:25">
      <c r="A28" s="46"/>
      <c r="B28" s="47"/>
      <c r="C28" s="45"/>
      <c r="D28" s="39">
        <v>0</v>
      </c>
      <c r="E28" s="52">
        <f t="shared" si="4"/>
        <v>11.7</v>
      </c>
      <c r="F28" s="53" t="s">
        <v>39</v>
      </c>
      <c r="G28" s="52">
        <v>0</v>
      </c>
      <c r="H28" s="52">
        <f t="shared" si="5"/>
        <v>66.3</v>
      </c>
      <c r="I28" s="52" t="s">
        <v>30</v>
      </c>
      <c r="J28" s="52">
        <f>IF(OR(C28=Sheet2!$A$10),0,L28*0.2)</f>
        <v>0</v>
      </c>
      <c r="K28" s="52">
        <f t="shared" si="6"/>
        <v>66.3</v>
      </c>
      <c r="L28" s="59">
        <v>78</v>
      </c>
      <c r="M28" s="52">
        <f>R28*$B$1</f>
        <v>9.5</v>
      </c>
      <c r="N28" s="24">
        <v>11.29</v>
      </c>
      <c r="O28" s="64"/>
      <c r="P28" s="64"/>
      <c r="R28" s="24">
        <v>250</v>
      </c>
      <c r="S28" s="70"/>
      <c r="T28" s="69">
        <f>H28*0.44-N28-M28</f>
        <v>8.382</v>
      </c>
      <c r="U28" s="73">
        <f>T28/(L28*0.43)*100%</f>
        <v>0.249910554561717</v>
      </c>
      <c r="Y28" s="76"/>
    </row>
    <row r="29" ht="15" customHeight="1" spans="1:25">
      <c r="A29" s="77" t="s">
        <v>41</v>
      </c>
      <c r="B29" s="44" t="s">
        <v>42</v>
      </c>
      <c r="C29" s="45" t="s">
        <v>29</v>
      </c>
      <c r="D29" s="39">
        <f>IF(S29=Sheet2!$W$4,INDEX(Sheet2!$J$5:$Q$5,1,MATCH(Sheet1!C29,Sheet2!$J$3:$Q$3,0)),IF(S29=Sheet2!$W$5,INDEX(Sheet2!$J$6:$Q$8,MATCH(Sheet1!R29,Sheet2!$H$6:$H$8,1),MATCH(Sheet1!C29,Sheet2!$J$3:$Q$3,0)),IF(S29=Sheet2!$W$6,INDEX(Sheet2!$J$9:$Q$9,1,MATCH(Sheet1!C29,Sheet2!$J$3:$Q$3,0)),IF(S29=Sheet2!$W$7,INDEX(Sheet2!$J$10:$Q$24,MATCH(Sheet1!R29,Sheet2!$H$10:$H$24,1),MATCH(Sheet1!C29,Sheet2!$J$3:$Q$3,0)),"ERR COUNTRY!"))))</f>
        <v>2.77</v>
      </c>
      <c r="E29" s="52">
        <f t="shared" si="4"/>
        <v>1.7985</v>
      </c>
      <c r="F29" s="53" t="s">
        <v>30</v>
      </c>
      <c r="G29" s="52">
        <f t="shared" ref="G29:G36" si="9">L29-L29/(1+20%)</f>
        <v>1.99833333333333</v>
      </c>
      <c r="H29" s="52">
        <f t="shared" si="5"/>
        <v>3.02516666666667</v>
      </c>
      <c r="I29" s="52" t="s">
        <v>30</v>
      </c>
      <c r="J29" s="52">
        <f>IF(OR(C29=Sheet2!$A$10),0,L29*0.2)</f>
        <v>2.398</v>
      </c>
      <c r="K29" s="52">
        <f t="shared" si="6"/>
        <v>5.42316666666667</v>
      </c>
      <c r="L29" s="58">
        <v>11.99</v>
      </c>
      <c r="M29" s="52">
        <f>R29*$B$1</f>
        <v>7.6</v>
      </c>
      <c r="N29" s="24">
        <v>6.65</v>
      </c>
      <c r="O29" s="24">
        <v>24</v>
      </c>
      <c r="P29" s="24">
        <v>22</v>
      </c>
      <c r="Q29" s="24">
        <v>5</v>
      </c>
      <c r="R29" s="24">
        <v>200</v>
      </c>
      <c r="S29" s="26" t="str">
        <f>IF(Sheet1!R29+Sheet2!$AB$7&gt;=Sheet2!$AA$7,"超出《标准包裹》重量",IF(AND(Sheet1!O29&lt;Sheet2!$X$7,Sheet1!P29&lt;Sheet2!$Y$7,Sheet1!Q29&lt;Sheet2!$Z$7),IF(Sheet1!R29+Sheet2!$AB$6&gt;=Sheet2!$AA$6,Sheet2!$W$7,IF(AND(Sheet1!O29&lt;Sheet2!$X$6,Sheet1!P29&lt;Sheet2!$Y$6,Sheet1!Q29&lt;Sheet2!$Z$6),IF(Sheet1!R29+Sheet2!$AB$5&gt;=Sheet2!$AA$5,Sheet2!$W$6,IF(AND(Sheet1!O29&lt;Sheet2!$X$5,Sheet1!P29&lt;Sheet2!$Y$5,Sheet1!Q29&lt;Sheet2!$Z$5),IF(Sheet1!R29+Sheet2!$AB$4&gt;=Sheet2!$AA$4,Sheet2!$W$5,IF(AND(Sheet1!O29&lt;Sheet2!$X$4,Sheet1!P29&lt;Sheet2!$Y$4,Sheet1!Q29&lt;Sheet2!$Z$4),Sheet2!$W$4,Sheet2!$W$5)),Sheet2!$W$6)),Sheet2!$W$7)),"超出《标准包裹》尺寸"))</f>
        <v>标准包裹</v>
      </c>
      <c r="T29" s="69">
        <f>H29*8.3-N29-M29</f>
        <v>10.8588833333333</v>
      </c>
      <c r="W29" s="74"/>
      <c r="X29" s="74"/>
      <c r="Y29" s="76"/>
    </row>
    <row r="30" ht="15" customHeight="1" spans="1:25">
      <c r="A30" s="46"/>
      <c r="B30" s="47"/>
      <c r="C30" s="45" t="s">
        <v>31</v>
      </c>
      <c r="D30" s="39">
        <f>IF(S30=Sheet2!$W$4,INDEX(Sheet2!$J$5:$Q$5,1,MATCH(Sheet1!C30,Sheet2!$J$3:$Q$3,0)),IF(S30=Sheet2!$W$5,INDEX(Sheet2!$J$6:$Q$8,MATCH(Sheet1!R30,Sheet2!$H$6:$H$8,1),MATCH(Sheet1!C30,Sheet2!$J$3:$Q$3,0)),IF(S30=Sheet2!$W$6,INDEX(Sheet2!$J$9:$Q$9,1,MATCH(Sheet1!C30,Sheet2!$J$3:$Q$3,0)),IF(S30=Sheet2!$W$7,INDEX(Sheet2!$J$10:$Q$24,MATCH(Sheet1!R30,Sheet2!$H$10:$H$24,1),MATCH(Sheet1!C30,Sheet2!$J$3:$Q$3,0)),"ERR COUNTRY!"))))</f>
        <v>3.21</v>
      </c>
      <c r="E30" s="52">
        <f t="shared" si="4"/>
        <v>1.9485</v>
      </c>
      <c r="F30" s="53" t="s">
        <v>30</v>
      </c>
      <c r="G30" s="52">
        <f t="shared" si="9"/>
        <v>2.165</v>
      </c>
      <c r="H30" s="52">
        <f t="shared" si="5"/>
        <v>3.0685</v>
      </c>
      <c r="I30" s="52" t="s">
        <v>30</v>
      </c>
      <c r="J30" s="52">
        <f>IF(OR(C30=Sheet2!$A$10),0,L30*0.2)</f>
        <v>2.598</v>
      </c>
      <c r="K30" s="52">
        <f t="shared" si="6"/>
        <v>5.6665</v>
      </c>
      <c r="L30" s="58">
        <v>12.99</v>
      </c>
      <c r="M30" s="52">
        <f>R30*$B$1</f>
        <v>3.8</v>
      </c>
      <c r="N30" s="24">
        <v>6.5</v>
      </c>
      <c r="O30" s="24">
        <v>13</v>
      </c>
      <c r="P30" s="24">
        <v>4</v>
      </c>
      <c r="Q30" s="24">
        <v>2.5</v>
      </c>
      <c r="R30" s="24">
        <v>100</v>
      </c>
      <c r="S30" s="26" t="str">
        <f>IF(Sheet1!R30+Sheet2!$AB$7&gt;=Sheet2!$AA$7,"超出《标准包裹》重量",IF(AND(Sheet1!O30&lt;Sheet2!$X$7,Sheet1!P30&lt;Sheet2!$Y$7,Sheet1!Q30&lt;Sheet2!$Z$7),IF(Sheet1!R30+Sheet2!$AB$6&gt;=Sheet2!$AA$6,Sheet2!$W$7,IF(AND(Sheet1!O30&lt;Sheet2!$X$6,Sheet1!P30&lt;Sheet2!$Y$6,Sheet1!Q30&lt;Sheet2!$Z$6),IF(Sheet1!R30+Sheet2!$AB$5&gt;=Sheet2!$AA$5,Sheet2!$W$6,IF(AND(Sheet1!O30&lt;Sheet2!$X$5,Sheet1!P30&lt;Sheet2!$Y$5,Sheet1!Q30&lt;Sheet2!$Z$5),IF(Sheet1!R30+Sheet2!$AB$4&gt;=Sheet2!$AA$4,Sheet2!$W$5,IF(AND(Sheet1!O30&lt;Sheet2!$X$4,Sheet1!P30&lt;Sheet2!$Y$4,Sheet1!Q30&lt;Sheet2!$Z$4),Sheet2!$W$4,Sheet2!$W$5)),Sheet2!$W$6)),Sheet2!$W$7)),"超出《标准包裹》尺寸"))</f>
        <v>大号信封</v>
      </c>
      <c r="T30" s="69">
        <f t="shared" ref="T30:T34" si="10">H30*7.1-N30-M30</f>
        <v>11.48635</v>
      </c>
      <c r="X30" s="74"/>
      <c r="Y30" s="76"/>
    </row>
    <row r="31" ht="15" customHeight="1" spans="1:25">
      <c r="A31" s="46"/>
      <c r="B31" s="47"/>
      <c r="C31" s="45" t="s">
        <v>32</v>
      </c>
      <c r="D31" s="39">
        <f>IF(S31=Sheet2!$W$4,INDEX(Sheet2!$J$5:$Q$5,1,MATCH(Sheet1!C31,Sheet2!$J$3:$Q$3,0)),IF(S31=Sheet2!$W$5,INDEX(Sheet2!$J$6:$Q$8,MATCH(Sheet1!R31,Sheet2!$H$6:$H$8,1),MATCH(Sheet1!C31,Sheet2!$J$3:$Q$3,0)),IF(S31=Sheet2!$W$6,INDEX(Sheet2!$J$9:$Q$9,1,MATCH(Sheet1!C31,Sheet2!$J$3:$Q$3,0)),IF(S31=Sheet2!$W$7,INDEX(Sheet2!$J$10:$Q$24,MATCH(Sheet1!R31,Sheet2!$H$10:$H$24,1),MATCH(Sheet1!C31,Sheet2!$J$3:$Q$3,0)),"ERR COUNTRY!"))))</f>
        <v>5.27</v>
      </c>
      <c r="E31" s="52">
        <f t="shared" si="4"/>
        <v>2.6985</v>
      </c>
      <c r="F31" s="53" t="s">
        <v>30</v>
      </c>
      <c r="G31" s="52">
        <f t="shared" si="9"/>
        <v>2.99833333333333</v>
      </c>
      <c r="H31" s="52">
        <f t="shared" si="5"/>
        <v>3.42516666666667</v>
      </c>
      <c r="I31" s="52" t="s">
        <v>30</v>
      </c>
      <c r="J31" s="52">
        <f>IF(OR(C31=Sheet2!$A$10),0,L31*0.2)</f>
        <v>3.598</v>
      </c>
      <c r="K31" s="52">
        <f t="shared" si="6"/>
        <v>7.02316666666667</v>
      </c>
      <c r="L31" s="58">
        <v>17.99</v>
      </c>
      <c r="M31" s="52">
        <f>R31*$B$1</f>
        <v>7.6</v>
      </c>
      <c r="N31" s="24">
        <v>8</v>
      </c>
      <c r="O31" s="24">
        <v>24</v>
      </c>
      <c r="P31" s="24">
        <v>22</v>
      </c>
      <c r="Q31" s="24">
        <v>5</v>
      </c>
      <c r="R31" s="24">
        <v>200</v>
      </c>
      <c r="S31" s="26" t="str">
        <f>IF(Sheet1!R31+Sheet2!$AB$7&gt;=Sheet2!$AA$7,"超出《标准包裹》重量",IF(AND(Sheet1!O31&lt;Sheet2!$X$7,Sheet1!P31&lt;Sheet2!$Y$7,Sheet1!Q31&lt;Sheet2!$Z$7),IF(Sheet1!R31+Sheet2!$AB$6&gt;=Sheet2!$AA$6,Sheet2!$W$7,IF(AND(Sheet1!O31&lt;Sheet2!$X$6,Sheet1!P31&lt;Sheet2!$Y$6,Sheet1!Q31&lt;Sheet2!$Z$6),IF(Sheet1!R31+Sheet2!$AB$5&gt;=Sheet2!$AA$5,Sheet2!$W$6,IF(AND(Sheet1!O31&lt;Sheet2!$X$5,Sheet1!P31&lt;Sheet2!$Y$5,Sheet1!Q31&lt;Sheet2!$Z$5),IF(Sheet1!R31+Sheet2!$AB$4&gt;=Sheet2!$AA$4,Sheet2!$W$5,IF(AND(Sheet1!O31&lt;Sheet2!$X$4,Sheet1!P31&lt;Sheet2!$Y$4,Sheet1!Q31&lt;Sheet2!$Z$4),Sheet2!$W$4,Sheet2!$W$5)),Sheet2!$W$6)),Sheet2!$W$7)),"超出《标准包裹》尺寸"))</f>
        <v>标准包裹</v>
      </c>
      <c r="T31" s="69">
        <f t="shared" si="10"/>
        <v>8.71868333333333</v>
      </c>
      <c r="Y31" s="76"/>
    </row>
    <row r="32" ht="15" customHeight="1" spans="1:25">
      <c r="A32" s="46"/>
      <c r="B32" s="47"/>
      <c r="C32" s="45" t="s">
        <v>33</v>
      </c>
      <c r="D32" s="39">
        <f>IF(S32=Sheet2!$W$4,INDEX(Sheet2!$J$5:$Q$5,1,MATCH(Sheet1!C32,Sheet2!$J$3:$Q$3,0)),IF(S32=Sheet2!$W$5,INDEX(Sheet2!$J$6:$Q$8,MATCH(Sheet1!R32,Sheet2!$H$6:$H$8,1),MATCH(Sheet1!C32,Sheet2!$J$3:$Q$3,0)),IF(S32=Sheet2!$W$6,INDEX(Sheet2!$J$9:$Q$9,1,MATCH(Sheet1!C32,Sheet2!$J$3:$Q$3,0)),IF(S32=Sheet2!$W$7,INDEX(Sheet2!$J$10:$Q$24,MATCH(Sheet1!R32,Sheet2!$H$10:$H$24,1),MATCH(Sheet1!C32,Sheet2!$J$3:$Q$3,0)),"ERR COUNTRY!"))))</f>
        <v>4.82</v>
      </c>
      <c r="E32" s="52">
        <f t="shared" si="4"/>
        <v>2.3985</v>
      </c>
      <c r="F32" s="53" t="s">
        <v>30</v>
      </c>
      <c r="G32" s="52">
        <f t="shared" si="9"/>
        <v>2.665</v>
      </c>
      <c r="H32" s="52">
        <f t="shared" si="5"/>
        <v>2.9085</v>
      </c>
      <c r="I32" s="52" t="s">
        <v>30</v>
      </c>
      <c r="J32" s="52">
        <f>IF(OR(C32=Sheet2!$A$10),0,L32*0.2)</f>
        <v>3.198</v>
      </c>
      <c r="K32" s="52">
        <f t="shared" si="6"/>
        <v>6.1065</v>
      </c>
      <c r="L32" s="58">
        <v>15.99</v>
      </c>
      <c r="M32" s="52">
        <f>R32*$B$1</f>
        <v>7.6</v>
      </c>
      <c r="N32" s="24">
        <v>8</v>
      </c>
      <c r="O32" s="24">
        <v>24</v>
      </c>
      <c r="P32" s="24">
        <v>22</v>
      </c>
      <c r="Q32" s="24">
        <v>5</v>
      </c>
      <c r="R32" s="24">
        <v>200</v>
      </c>
      <c r="S32" s="26" t="str">
        <f>IF(Sheet1!R32+Sheet2!$AB$7&gt;=Sheet2!$AA$7,"超出《标准包裹》重量",IF(AND(Sheet1!O32&lt;Sheet2!$X$7,Sheet1!P32&lt;Sheet2!$Y$7,Sheet1!Q32&lt;Sheet2!$Z$7),IF(Sheet1!R32+Sheet2!$AB$6&gt;=Sheet2!$AA$6,Sheet2!$W$7,IF(AND(Sheet1!O32&lt;Sheet2!$X$6,Sheet1!P32&lt;Sheet2!$Y$6,Sheet1!Q32&lt;Sheet2!$Z$6),IF(Sheet1!R32+Sheet2!$AB$5&gt;=Sheet2!$AA$5,Sheet2!$W$6,IF(AND(Sheet1!O32&lt;Sheet2!$X$5,Sheet1!P32&lt;Sheet2!$Y$5,Sheet1!Q32&lt;Sheet2!$Z$5),IF(Sheet1!R32+Sheet2!$AB$4&gt;=Sheet2!$AA$4,Sheet2!$W$5,IF(AND(Sheet1!O32&lt;Sheet2!$X$4,Sheet1!P32&lt;Sheet2!$Y$4,Sheet1!Q32&lt;Sheet2!$Z$4),Sheet2!$W$4,Sheet2!$W$5)),Sheet2!$W$6)),Sheet2!$W$7)),"超出《标准包裹》尺寸"))</f>
        <v>标准包裹</v>
      </c>
      <c r="T32" s="69">
        <f t="shared" si="10"/>
        <v>5.05035</v>
      </c>
      <c r="W32" s="75"/>
      <c r="X32" s="75"/>
      <c r="Y32" s="76"/>
    </row>
    <row r="33" ht="15" customHeight="1" spans="1:25">
      <c r="A33" s="46"/>
      <c r="B33" s="47"/>
      <c r="C33" s="45" t="s">
        <v>34</v>
      </c>
      <c r="D33" s="39">
        <f>IF(S33=Sheet2!$W$4,INDEX(Sheet2!$J$5:$Q$5,1,MATCH(Sheet1!C33,Sheet2!$J$3:$Q$3,0)),IF(S33=Sheet2!$W$5,INDEX(Sheet2!$J$6:$Q$8,MATCH(Sheet1!R33,Sheet2!$H$6:$H$8,1),MATCH(Sheet1!C33,Sheet2!$J$3:$Q$3,0)),IF(S33=Sheet2!$W$6,INDEX(Sheet2!$J$9:$Q$9,1,MATCH(Sheet1!C33,Sheet2!$J$3:$Q$3,0)),IF(S33=Sheet2!$W$7,INDEX(Sheet2!$J$10:$Q$24,MATCH(Sheet1!R33,Sheet2!$H$10:$H$24,1),MATCH(Sheet1!C33,Sheet2!$J$3:$Q$3,0)),"ERR COUNTRY!"))))</f>
        <v>4.1</v>
      </c>
      <c r="E33" s="52">
        <f t="shared" si="4"/>
        <v>2.2485</v>
      </c>
      <c r="F33" s="53" t="s">
        <v>30</v>
      </c>
      <c r="G33" s="52">
        <f t="shared" si="9"/>
        <v>2.49833333333333</v>
      </c>
      <c r="H33" s="52">
        <f t="shared" si="5"/>
        <v>3.14516666666667</v>
      </c>
      <c r="I33" s="52" t="s">
        <v>30</v>
      </c>
      <c r="J33" s="52">
        <f>IF(OR(C33=Sheet2!$A$10),0,L33*0.2)</f>
        <v>2.998</v>
      </c>
      <c r="K33" s="52">
        <f t="shared" si="6"/>
        <v>6.14316666666667</v>
      </c>
      <c r="L33" s="58">
        <v>14.99</v>
      </c>
      <c r="M33" s="52">
        <f>R33*$B$1</f>
        <v>7.6</v>
      </c>
      <c r="N33" s="24">
        <v>8</v>
      </c>
      <c r="O33" s="24">
        <v>24</v>
      </c>
      <c r="P33" s="24">
        <v>22</v>
      </c>
      <c r="Q33" s="24">
        <v>5</v>
      </c>
      <c r="R33" s="24">
        <v>200</v>
      </c>
      <c r="S33" s="26" t="str">
        <f>IF(Sheet1!R33+Sheet2!$AB$7&gt;=Sheet2!$AA$7,"超出《标准包裹》重量",IF(AND(Sheet1!O33&lt;Sheet2!$X$7,Sheet1!P33&lt;Sheet2!$Y$7,Sheet1!Q33&lt;Sheet2!$Z$7),IF(Sheet1!R33+Sheet2!$AB$6&gt;=Sheet2!$AA$6,Sheet2!$W$7,IF(AND(Sheet1!O33&lt;Sheet2!$X$6,Sheet1!P33&lt;Sheet2!$Y$6,Sheet1!Q33&lt;Sheet2!$Z$6),IF(Sheet1!R33+Sheet2!$AB$5&gt;=Sheet2!$AA$5,Sheet2!$W$6,IF(AND(Sheet1!O33&lt;Sheet2!$X$5,Sheet1!P33&lt;Sheet2!$Y$5,Sheet1!Q33&lt;Sheet2!$Z$5),IF(Sheet1!R33+Sheet2!$AB$4&gt;=Sheet2!$AA$4,Sheet2!$W$5,IF(AND(Sheet1!O33&lt;Sheet2!$X$4,Sheet1!P33&lt;Sheet2!$Y$4,Sheet1!Q33&lt;Sheet2!$Z$4),Sheet2!$W$4,Sheet2!$W$5)),Sheet2!$W$6)),Sheet2!$W$7)),"超出《标准包裹》尺寸"))</f>
        <v>标准包裹</v>
      </c>
      <c r="T33" s="69">
        <f t="shared" si="10"/>
        <v>6.73068333333333</v>
      </c>
      <c r="Y33" s="76"/>
    </row>
    <row r="34" ht="15" customHeight="1" spans="1:25">
      <c r="A34" s="46"/>
      <c r="B34" s="47"/>
      <c r="C34" s="45" t="s">
        <v>35</v>
      </c>
      <c r="D34" s="39">
        <f>IF(S34=Sheet2!$W$4,INDEX(Sheet2!$J$5:$Q$5,1,MATCH(Sheet1!C34,Sheet2!$J$3:$Q$3,0)),IF(S34=Sheet2!$W$5,INDEX(Sheet2!$J$6:$Q$8,MATCH(Sheet1!R34,Sheet2!$H$6:$H$8,1),MATCH(Sheet1!C34,Sheet2!$J$3:$Q$3,0)),IF(S34=Sheet2!$W$6,INDEX(Sheet2!$J$9:$Q$9,1,MATCH(Sheet1!C34,Sheet2!$J$3:$Q$3,0)),IF(S34=Sheet2!$W$7,INDEX(Sheet2!$J$10:$Q$24,MATCH(Sheet1!R34,Sheet2!$H$10:$H$24,1),MATCH(Sheet1!C34,Sheet2!$J$3:$Q$3,0)),"ERR COUNTRY!"))))</f>
        <v>3.16</v>
      </c>
      <c r="E34" s="52">
        <f t="shared" si="4"/>
        <v>2.0985</v>
      </c>
      <c r="F34" s="53" t="s">
        <v>30</v>
      </c>
      <c r="G34" s="52">
        <f t="shared" si="9"/>
        <v>2.33166666666667</v>
      </c>
      <c r="H34" s="52">
        <f t="shared" si="5"/>
        <v>3.60183333333333</v>
      </c>
      <c r="I34" s="52" t="s">
        <v>30</v>
      </c>
      <c r="J34" s="52">
        <f>IF(OR(C34=Sheet2!$A$10),0,L34*0.2)</f>
        <v>2.798</v>
      </c>
      <c r="K34" s="52">
        <f t="shared" si="6"/>
        <v>6.39983333333333</v>
      </c>
      <c r="L34" s="58">
        <v>13.99</v>
      </c>
      <c r="M34" s="52">
        <f>R34*$B$1</f>
        <v>7.6</v>
      </c>
      <c r="N34" s="24">
        <v>8</v>
      </c>
      <c r="O34" s="24">
        <v>24</v>
      </c>
      <c r="P34" s="24">
        <v>22</v>
      </c>
      <c r="Q34" s="24">
        <v>5</v>
      </c>
      <c r="R34" s="24">
        <v>200</v>
      </c>
      <c r="S34" s="26" t="str">
        <f>IF(Sheet1!R34+Sheet2!$AB$7&gt;=Sheet2!$AA$7,"超出《标准包裹》重量",IF(AND(Sheet1!O34&lt;Sheet2!$X$7,Sheet1!P34&lt;Sheet2!$Y$7,Sheet1!Q34&lt;Sheet2!$Z$7),IF(Sheet1!R34+Sheet2!$AB$6&gt;=Sheet2!$AA$6,Sheet2!$W$7,IF(AND(Sheet1!O34&lt;Sheet2!$X$6,Sheet1!P34&lt;Sheet2!$Y$6,Sheet1!Q34&lt;Sheet2!$Z$6),IF(Sheet1!R34+Sheet2!$AB$5&gt;=Sheet2!$AA$5,Sheet2!$W$6,IF(AND(Sheet1!O34&lt;Sheet2!$X$5,Sheet1!P34&lt;Sheet2!$Y$5,Sheet1!Q34&lt;Sheet2!$Z$5),IF(Sheet1!R34+Sheet2!$AB$4&gt;=Sheet2!$AA$4,Sheet2!$W$5,IF(AND(Sheet1!O34&lt;Sheet2!$X$4,Sheet1!P34&lt;Sheet2!$Y$4,Sheet1!Q34&lt;Sheet2!$Z$4),Sheet2!$W$4,Sheet2!$W$5)),Sheet2!$W$6)),Sheet2!$W$7)),"超出《标准包裹》尺寸"))</f>
        <v>标准包裹</v>
      </c>
      <c r="T34" s="69">
        <f t="shared" si="10"/>
        <v>9.97301666666667</v>
      </c>
      <c r="Y34" s="76"/>
    </row>
    <row r="35" ht="15" customHeight="1" spans="1:25">
      <c r="A35" s="46"/>
      <c r="B35" s="47"/>
      <c r="C35" s="45" t="s">
        <v>36</v>
      </c>
      <c r="D35" s="39">
        <f>IF(S35=Sheet2!$W$4,INDEX(Sheet2!$J$5:$Q$5,1,MATCH(Sheet1!C35,Sheet2!$J$3:$Q$3,0)),IF(S35=Sheet2!$W$5,INDEX(Sheet2!$J$6:$Q$8,MATCH(Sheet1!R35,Sheet2!$H$6:$H$8,1),MATCH(Sheet1!C35,Sheet2!$J$3:$Q$3,0)),IF(S35=Sheet2!$W$6,INDEX(Sheet2!$J$9:$Q$9,1,MATCH(Sheet1!C35,Sheet2!$J$3:$Q$3,0)),IF(S35=Sheet2!$W$7,INDEX(Sheet2!$J$10:$Q$24,MATCH(Sheet1!R35,Sheet2!$H$10:$H$24,1),MATCH(Sheet1!C35,Sheet2!$J$3:$Q$3,0)),"ERR COUNTRY!"))))</f>
        <v>42.91</v>
      </c>
      <c r="E35" s="52">
        <f t="shared" si="4"/>
        <v>21.3</v>
      </c>
      <c r="F35" s="53" t="s">
        <v>30</v>
      </c>
      <c r="G35" s="52">
        <f t="shared" si="9"/>
        <v>23.6666666666667</v>
      </c>
      <c r="H35" s="52">
        <f t="shared" si="5"/>
        <v>25.7233333333333</v>
      </c>
      <c r="I35" s="52" t="s">
        <v>30</v>
      </c>
      <c r="J35" s="52">
        <f>IF(OR(C35=Sheet2!$A$10),0,L35*0.2)</f>
        <v>28.4</v>
      </c>
      <c r="K35" s="52">
        <f t="shared" si="6"/>
        <v>54.1233333333333</v>
      </c>
      <c r="L35" s="58">
        <v>142</v>
      </c>
      <c r="M35" s="52">
        <f>R35*$B$1</f>
        <v>7.6</v>
      </c>
      <c r="N35" s="24">
        <v>8</v>
      </c>
      <c r="O35" s="24">
        <v>24</v>
      </c>
      <c r="P35" s="24">
        <v>22</v>
      </c>
      <c r="Q35" s="24">
        <v>5</v>
      </c>
      <c r="R35" s="24">
        <v>200</v>
      </c>
      <c r="S35" s="26" t="str">
        <f>IF(Sheet1!R35+Sheet2!$AB$7&gt;=Sheet2!$AA$7,"超出《标准包裹》重量",IF(AND(Sheet1!O35&lt;Sheet2!$X$7,Sheet1!P35&lt;Sheet2!$Y$7,Sheet1!Q35&lt;Sheet2!$Z$7),IF(Sheet1!R35+Sheet2!$AB$6&gt;=Sheet2!$AA$6,Sheet2!$W$7,IF(AND(Sheet1!O35&lt;Sheet2!$X$6,Sheet1!P35&lt;Sheet2!$Y$6,Sheet1!Q35&lt;Sheet2!$Z$6),IF(Sheet1!R35+Sheet2!$AB$5&gt;=Sheet2!$AA$5,Sheet2!$W$6,IF(AND(Sheet1!O35&lt;Sheet2!$X$5,Sheet1!P35&lt;Sheet2!$Y$5,Sheet1!Q35&lt;Sheet2!$Z$5),IF(Sheet1!R35+Sheet2!$AB$4&gt;=Sheet2!$AA$4,Sheet2!$W$5,IF(AND(Sheet1!O35&lt;Sheet2!$X$4,Sheet1!P35&lt;Sheet2!$Y$4,Sheet1!Q35&lt;Sheet2!$Z$4),Sheet2!$W$4,Sheet2!$W$5)),Sheet2!$W$6)),Sheet2!$W$7)),"超出《标准包裹》尺寸"))</f>
        <v>标准包裹</v>
      </c>
      <c r="T35" s="69">
        <f>H35*0.63-N35-M35</f>
        <v>0.605700000000008</v>
      </c>
      <c r="Y35" s="76"/>
    </row>
    <row r="36" ht="15" customHeight="1" spans="1:25">
      <c r="A36" s="46"/>
      <c r="B36" s="47"/>
      <c r="C36" s="45" t="s">
        <v>37</v>
      </c>
      <c r="D36" s="39">
        <f>IF(S36=Sheet2!$W$4,INDEX(Sheet2!$J$5:$Q$5,1,MATCH(Sheet1!C36,Sheet2!$J$3:$Q$3,0)),IF(S36=Sheet2!$W$5,INDEX(Sheet2!$J$6:$Q$8,MATCH(Sheet1!R36,Sheet2!$H$6:$H$8,1),MATCH(Sheet1!C36,Sheet2!$J$3:$Q$3,0)),IF(S36=Sheet2!$W$6,INDEX(Sheet2!$J$9:$Q$9,1,MATCH(Sheet1!C36,Sheet2!$J$3:$Q$3,0)),IF(S36=Sheet2!$W$7,INDEX(Sheet2!$J$10:$Q$24,MATCH(Sheet1!R36,Sheet2!$H$10:$H$24,1),MATCH(Sheet1!C36,Sheet2!$J$3:$Q$3,0)),"ERR COUNTRY!"))))</f>
        <v>5.66</v>
      </c>
      <c r="E36" s="52">
        <f t="shared" si="4"/>
        <v>7.2</v>
      </c>
      <c r="F36" s="53" t="s">
        <v>30</v>
      </c>
      <c r="G36" s="52">
        <f t="shared" si="9"/>
        <v>8</v>
      </c>
      <c r="H36" s="52">
        <f t="shared" si="5"/>
        <v>17.54</v>
      </c>
      <c r="I36" s="52" t="s">
        <v>30</v>
      </c>
      <c r="J36" s="52">
        <f>IF(OR(C36=Sheet2!$A$10),0,L36*0.2)</f>
        <v>9.6</v>
      </c>
      <c r="K36" s="52">
        <f t="shared" si="6"/>
        <v>27.14</v>
      </c>
      <c r="L36" s="58">
        <v>48</v>
      </c>
      <c r="M36" s="52">
        <f>R36*$B$1</f>
        <v>7.6</v>
      </c>
      <c r="N36" s="24">
        <v>8</v>
      </c>
      <c r="O36" s="24">
        <v>24</v>
      </c>
      <c r="P36" s="24">
        <v>22</v>
      </c>
      <c r="Q36" s="24">
        <v>5</v>
      </c>
      <c r="R36" s="24">
        <v>200</v>
      </c>
      <c r="S36" s="26" t="str">
        <f>IF(Sheet1!R36+Sheet2!$AB$7&gt;=Sheet2!$AA$7,"超出《标准包裹》重量",IF(AND(Sheet1!O36&lt;Sheet2!$X$7,Sheet1!P36&lt;Sheet2!$Y$7,Sheet1!Q36&lt;Sheet2!$Z$7),IF(Sheet1!R36+Sheet2!$AB$6&gt;=Sheet2!$AA$6,Sheet2!$W$7,IF(AND(Sheet1!O36&lt;Sheet2!$X$6,Sheet1!P36&lt;Sheet2!$Y$6,Sheet1!Q36&lt;Sheet2!$Z$6),IF(Sheet1!R36+Sheet2!$AB$5&gt;=Sheet2!$AA$5,Sheet2!$W$6,IF(AND(Sheet1!O36&lt;Sheet2!$X$5,Sheet1!P36&lt;Sheet2!$Y$5,Sheet1!Q36&lt;Sheet2!$Z$5),IF(Sheet1!R36+Sheet2!$AB$4&gt;=Sheet2!$AA$4,Sheet2!$W$5,IF(AND(Sheet1!O36&lt;Sheet2!$X$4,Sheet1!P36&lt;Sheet2!$Y$4,Sheet1!Q36&lt;Sheet2!$Z$4),Sheet2!$W$4,Sheet2!$W$5)),Sheet2!$W$6)),Sheet2!$W$7)),"超出《标准包裹》尺寸"))</f>
        <v>标准包裹</v>
      </c>
      <c r="T36" s="69">
        <f>H36*1.38-N36-M36</f>
        <v>8.6052</v>
      </c>
      <c r="Y36" s="76"/>
    </row>
    <row r="37" spans="1:25">
      <c r="A37" s="46"/>
      <c r="B37" s="47"/>
      <c r="C37" s="45"/>
      <c r="D37" s="39">
        <v>0</v>
      </c>
      <c r="E37" s="52">
        <f t="shared" si="4"/>
        <v>9</v>
      </c>
      <c r="F37" s="53" t="s">
        <v>39</v>
      </c>
      <c r="G37" s="52">
        <v>0</v>
      </c>
      <c r="H37" s="52">
        <f t="shared" si="5"/>
        <v>51</v>
      </c>
      <c r="I37" s="52" t="s">
        <v>30</v>
      </c>
      <c r="J37" s="52">
        <f>IF(OR(C37=Sheet2!$A$10),0,L37*0.2)</f>
        <v>0</v>
      </c>
      <c r="K37" s="52">
        <f t="shared" si="6"/>
        <v>51</v>
      </c>
      <c r="L37" s="59">
        <v>60</v>
      </c>
      <c r="M37" s="52">
        <f>R37*$B$1</f>
        <v>7.6</v>
      </c>
      <c r="N37" s="24">
        <v>8</v>
      </c>
      <c r="O37" s="64"/>
      <c r="P37" s="64"/>
      <c r="Q37" s="64"/>
      <c r="R37" s="24">
        <v>200</v>
      </c>
      <c r="S37" s="70"/>
      <c r="T37" s="69">
        <f>H37*0.44-N37-M37</f>
        <v>6.84</v>
      </c>
      <c r="Y37" s="76"/>
    </row>
    <row r="38" ht="15" customHeight="1" spans="1:25">
      <c r="A38" s="77" t="s">
        <v>41</v>
      </c>
      <c r="B38" s="44" t="s">
        <v>43</v>
      </c>
      <c r="C38" s="45" t="s">
        <v>29</v>
      </c>
      <c r="D38" s="39">
        <f>IF(S38=Sheet2!$W$4,INDEX(Sheet2!$J$5:$Q$5,1,MATCH(Sheet1!C38,Sheet2!$J$3:$Q$3,0)),IF(S38=Sheet2!$W$5,INDEX(Sheet2!$J$6:$Q$8,MATCH(Sheet1!R38,Sheet2!$H$6:$H$8,1),MATCH(Sheet1!C38,Sheet2!$J$3:$Q$3,0)),IF(S38=Sheet2!$W$6,INDEX(Sheet2!$J$9:$Q$9,1,MATCH(Sheet1!C38,Sheet2!$J$3:$Q$3,0)),IF(S38=Sheet2!$W$7,INDEX(Sheet2!$J$10:$Q$24,MATCH(Sheet1!R38,Sheet2!$H$10:$H$24,1),MATCH(Sheet1!C38,Sheet2!$J$3:$Q$3,0)),"ERR COUNTRY!"))))</f>
        <v>2.77</v>
      </c>
      <c r="E38" s="52">
        <f t="shared" si="4"/>
        <v>1.7985</v>
      </c>
      <c r="F38" s="53" t="s">
        <v>30</v>
      </c>
      <c r="G38" s="52">
        <f t="shared" ref="G38:G45" si="11">L38-L38/(1+20%)</f>
        <v>1.99833333333333</v>
      </c>
      <c r="H38" s="52">
        <f t="shared" si="5"/>
        <v>3.02516666666667</v>
      </c>
      <c r="I38" s="52" t="s">
        <v>30</v>
      </c>
      <c r="J38" s="52">
        <f>IF(OR(C38=Sheet2!$A$10),0,L38*0.2)</f>
        <v>2.398</v>
      </c>
      <c r="K38" s="52">
        <f t="shared" si="6"/>
        <v>5.42316666666667</v>
      </c>
      <c r="L38" s="58">
        <v>11.99</v>
      </c>
      <c r="M38" s="52">
        <f>R38*$B$1</f>
        <v>7.6</v>
      </c>
      <c r="N38" s="24">
        <v>8</v>
      </c>
      <c r="O38" s="24">
        <v>24</v>
      </c>
      <c r="P38" s="24">
        <v>22</v>
      </c>
      <c r="Q38" s="24">
        <v>5</v>
      </c>
      <c r="R38" s="24">
        <v>200</v>
      </c>
      <c r="S38" s="26" t="str">
        <f>IF(Sheet1!R38+Sheet2!$AB$7&gt;=Sheet2!$AA$7,"超出《标准包裹》重量",IF(AND(Sheet1!O38&lt;Sheet2!$X$7,Sheet1!P38&lt;Sheet2!$Y$7,Sheet1!Q38&lt;Sheet2!$Z$7),IF(Sheet1!R38+Sheet2!$AB$6&gt;=Sheet2!$AA$6,Sheet2!$W$7,IF(AND(Sheet1!O38&lt;Sheet2!$X$6,Sheet1!P38&lt;Sheet2!$Y$6,Sheet1!Q38&lt;Sheet2!$Z$6),IF(Sheet1!R38+Sheet2!$AB$5&gt;=Sheet2!$AA$5,Sheet2!$W$6,IF(AND(Sheet1!O38&lt;Sheet2!$X$5,Sheet1!P38&lt;Sheet2!$Y$5,Sheet1!Q38&lt;Sheet2!$Z$5),IF(Sheet1!R38+Sheet2!$AB$4&gt;=Sheet2!$AA$4,Sheet2!$W$5,IF(AND(Sheet1!O38&lt;Sheet2!$X$4,Sheet1!P38&lt;Sheet2!$Y$4,Sheet1!Q38&lt;Sheet2!$Z$4),Sheet2!$W$4,Sheet2!$W$5)),Sheet2!$W$6)),Sheet2!$W$7)),"超出《标准包裹》尺寸"))</f>
        <v>标准包裹</v>
      </c>
      <c r="T38" s="69">
        <f>H38*8.3-N38-M38</f>
        <v>9.50888333333334</v>
      </c>
      <c r="W38" s="74"/>
      <c r="X38" s="74"/>
      <c r="Y38" s="76"/>
    </row>
    <row r="39" ht="15" customHeight="1" spans="1:25">
      <c r="A39" s="46"/>
      <c r="B39" s="47"/>
      <c r="C39" s="45" t="s">
        <v>31</v>
      </c>
      <c r="D39" s="39">
        <f>IF(S39=Sheet2!$W$4,INDEX(Sheet2!$J$5:$Q$5,1,MATCH(Sheet1!C39,Sheet2!$J$3:$Q$3,0)),IF(S39=Sheet2!$W$5,INDEX(Sheet2!$J$6:$Q$8,MATCH(Sheet1!R39,Sheet2!$H$6:$H$8,1),MATCH(Sheet1!C39,Sheet2!$J$3:$Q$3,0)),IF(S39=Sheet2!$W$6,INDEX(Sheet2!$J$9:$Q$9,1,MATCH(Sheet1!C39,Sheet2!$J$3:$Q$3,0)),IF(S39=Sheet2!$W$7,INDEX(Sheet2!$J$10:$Q$24,MATCH(Sheet1!R39,Sheet2!$H$10:$H$24,1),MATCH(Sheet1!C39,Sheet2!$J$3:$Q$3,0)),"ERR COUNTRY!"))))</f>
        <v>3.34</v>
      </c>
      <c r="E39" s="52">
        <f t="shared" si="4"/>
        <v>2.0985</v>
      </c>
      <c r="F39" s="53" t="s">
        <v>30</v>
      </c>
      <c r="G39" s="52">
        <f t="shared" si="11"/>
        <v>2.33166666666667</v>
      </c>
      <c r="H39" s="52">
        <f t="shared" si="5"/>
        <v>3.42183333333333</v>
      </c>
      <c r="I39" s="52" t="s">
        <v>30</v>
      </c>
      <c r="J39" s="52">
        <f>IF(OR(C39=Sheet2!$A$10),0,L39*0.2)</f>
        <v>2.798</v>
      </c>
      <c r="K39" s="52">
        <f t="shared" si="6"/>
        <v>6.21983333333333</v>
      </c>
      <c r="L39" s="58">
        <v>13.99</v>
      </c>
      <c r="M39" s="52">
        <f>R39*$B$1</f>
        <v>4.94</v>
      </c>
      <c r="N39" s="24">
        <v>8.5</v>
      </c>
      <c r="O39" s="24">
        <v>13</v>
      </c>
      <c r="P39" s="24">
        <v>5</v>
      </c>
      <c r="Q39" s="24">
        <v>25</v>
      </c>
      <c r="R39" s="24">
        <v>130</v>
      </c>
      <c r="S39" s="26" t="str">
        <f>IF(Sheet1!R39+Sheet2!$AB$7&gt;=Sheet2!$AA$7,"超出《标准包裹》重量",IF(AND(Sheet1!O39&lt;Sheet2!$X$7,Sheet1!P39&lt;Sheet2!$Y$7,Sheet1!Q39&lt;Sheet2!$Z$7),IF(Sheet1!R39+Sheet2!$AB$6&gt;=Sheet2!$AA$6,Sheet2!$W$7,IF(AND(Sheet1!O39&lt;Sheet2!$X$6,Sheet1!P39&lt;Sheet2!$Y$6,Sheet1!Q39&lt;Sheet2!$Z$6),IF(Sheet1!R39+Sheet2!$AB$5&gt;=Sheet2!$AA$5,Sheet2!$W$6,IF(AND(Sheet1!O39&lt;Sheet2!$X$5,Sheet1!P39&lt;Sheet2!$Y$5,Sheet1!Q39&lt;Sheet2!$Z$5),IF(Sheet1!R39+Sheet2!$AB$4&gt;=Sheet2!$AA$4,Sheet2!$W$5,IF(AND(Sheet1!O39&lt;Sheet2!$X$4,Sheet1!P39&lt;Sheet2!$Y$4,Sheet1!Q39&lt;Sheet2!$Z$4),Sheet2!$W$4,Sheet2!$W$5)),Sheet2!$W$6)),Sheet2!$W$7)),"超出《标准包裹》尺寸"))</f>
        <v>标准包裹</v>
      </c>
      <c r="T39" s="69">
        <f t="shared" ref="T39:T43" si="12">H39*7.1-N39-M39</f>
        <v>10.8550166666667</v>
      </c>
      <c r="X39" s="74"/>
      <c r="Y39" s="76"/>
    </row>
    <row r="40" ht="15" customHeight="1" spans="1:25">
      <c r="A40" s="46"/>
      <c r="B40" s="47"/>
      <c r="C40" s="45" t="s">
        <v>32</v>
      </c>
      <c r="D40" s="39">
        <f>IF(S40=Sheet2!$W$4,INDEX(Sheet2!$J$5:$Q$5,1,MATCH(Sheet1!C40,Sheet2!$J$3:$Q$3,0)),IF(S40=Sheet2!$W$5,INDEX(Sheet2!$J$6:$Q$8,MATCH(Sheet1!R40,Sheet2!$H$6:$H$8,1),MATCH(Sheet1!C40,Sheet2!$J$3:$Q$3,0)),IF(S40=Sheet2!$W$6,INDEX(Sheet2!$J$9:$Q$9,1,MATCH(Sheet1!C40,Sheet2!$J$3:$Q$3,0)),IF(S40=Sheet2!$W$7,INDEX(Sheet2!$J$10:$Q$24,MATCH(Sheet1!R40,Sheet2!$H$10:$H$24,1),MATCH(Sheet1!C40,Sheet2!$J$3:$Q$3,0)),"ERR COUNTRY!"))))</f>
        <v>5.27</v>
      </c>
      <c r="E40" s="52">
        <f t="shared" si="4"/>
        <v>2.6985</v>
      </c>
      <c r="F40" s="53" t="s">
        <v>30</v>
      </c>
      <c r="G40" s="52">
        <f t="shared" si="11"/>
        <v>2.99833333333333</v>
      </c>
      <c r="H40" s="52">
        <f t="shared" si="5"/>
        <v>3.42516666666667</v>
      </c>
      <c r="I40" s="52" t="s">
        <v>30</v>
      </c>
      <c r="J40" s="52">
        <f>IF(OR(C40=Sheet2!$A$10),0,L40*0.2)</f>
        <v>3.598</v>
      </c>
      <c r="K40" s="52">
        <f t="shared" si="6"/>
        <v>7.02316666666667</v>
      </c>
      <c r="L40" s="58">
        <v>17.99</v>
      </c>
      <c r="M40" s="52">
        <f>R40*$B$1</f>
        <v>7.6</v>
      </c>
      <c r="N40" s="24">
        <v>8</v>
      </c>
      <c r="O40" s="24">
        <v>24</v>
      </c>
      <c r="P40" s="24">
        <v>22</v>
      </c>
      <c r="Q40" s="24">
        <v>5</v>
      </c>
      <c r="R40" s="24">
        <v>200</v>
      </c>
      <c r="S40" s="26" t="str">
        <f>IF(Sheet1!R40+Sheet2!$AB$7&gt;=Sheet2!$AA$7,"超出《标准包裹》重量",IF(AND(Sheet1!O40&lt;Sheet2!$X$7,Sheet1!P40&lt;Sheet2!$Y$7,Sheet1!Q40&lt;Sheet2!$Z$7),IF(Sheet1!R40+Sheet2!$AB$6&gt;=Sheet2!$AA$6,Sheet2!$W$7,IF(AND(Sheet1!O40&lt;Sheet2!$X$6,Sheet1!P40&lt;Sheet2!$Y$6,Sheet1!Q40&lt;Sheet2!$Z$6),IF(Sheet1!R40+Sheet2!$AB$5&gt;=Sheet2!$AA$5,Sheet2!$W$6,IF(AND(Sheet1!O40&lt;Sheet2!$X$5,Sheet1!P40&lt;Sheet2!$Y$5,Sheet1!Q40&lt;Sheet2!$Z$5),IF(Sheet1!R40+Sheet2!$AB$4&gt;=Sheet2!$AA$4,Sheet2!$W$5,IF(AND(Sheet1!O40&lt;Sheet2!$X$4,Sheet1!P40&lt;Sheet2!$Y$4,Sheet1!Q40&lt;Sheet2!$Z$4),Sheet2!$W$4,Sheet2!$W$5)),Sheet2!$W$6)),Sheet2!$W$7)),"超出《标准包裹》尺寸"))</f>
        <v>标准包裹</v>
      </c>
      <c r="T40" s="69">
        <f t="shared" si="12"/>
        <v>8.71868333333333</v>
      </c>
      <c r="Y40" s="76"/>
    </row>
    <row r="41" ht="15" customHeight="1" spans="1:25">
      <c r="A41" s="46"/>
      <c r="B41" s="47"/>
      <c r="C41" s="45" t="s">
        <v>33</v>
      </c>
      <c r="D41" s="39">
        <f>IF(S41=Sheet2!$W$4,INDEX(Sheet2!$J$5:$Q$5,1,MATCH(Sheet1!C41,Sheet2!$J$3:$Q$3,0)),IF(S41=Sheet2!$W$5,INDEX(Sheet2!$J$6:$Q$8,MATCH(Sheet1!R41,Sheet2!$H$6:$H$8,1),MATCH(Sheet1!C41,Sheet2!$J$3:$Q$3,0)),IF(S41=Sheet2!$W$6,INDEX(Sheet2!$J$9:$Q$9,1,MATCH(Sheet1!C41,Sheet2!$J$3:$Q$3,0)),IF(S41=Sheet2!$W$7,INDEX(Sheet2!$J$10:$Q$24,MATCH(Sheet1!R41,Sheet2!$H$10:$H$24,1),MATCH(Sheet1!C41,Sheet2!$J$3:$Q$3,0)),"ERR COUNTRY!"))))</f>
        <v>4.82</v>
      </c>
      <c r="E41" s="52">
        <f t="shared" si="4"/>
        <v>2.3985</v>
      </c>
      <c r="F41" s="53" t="s">
        <v>30</v>
      </c>
      <c r="G41" s="52">
        <f t="shared" si="11"/>
        <v>2.665</v>
      </c>
      <c r="H41" s="52">
        <f t="shared" si="5"/>
        <v>2.9085</v>
      </c>
      <c r="I41" s="52" t="s">
        <v>30</v>
      </c>
      <c r="J41" s="52">
        <f>IF(OR(C41=Sheet2!$A$10),0,L41*0.2)</f>
        <v>3.198</v>
      </c>
      <c r="K41" s="52">
        <f t="shared" si="6"/>
        <v>6.1065</v>
      </c>
      <c r="L41" s="58">
        <v>15.99</v>
      </c>
      <c r="M41" s="52">
        <f>R41*$B$1</f>
        <v>7.6</v>
      </c>
      <c r="N41" s="24">
        <v>8</v>
      </c>
      <c r="O41" s="24">
        <v>24</v>
      </c>
      <c r="P41" s="24">
        <v>22</v>
      </c>
      <c r="Q41" s="24">
        <v>5</v>
      </c>
      <c r="R41" s="24">
        <v>200</v>
      </c>
      <c r="S41" s="26" t="str">
        <f>IF(Sheet1!R41+Sheet2!$AB$7&gt;=Sheet2!$AA$7,"超出《标准包裹》重量",IF(AND(Sheet1!O41&lt;Sheet2!$X$7,Sheet1!P41&lt;Sheet2!$Y$7,Sheet1!Q41&lt;Sheet2!$Z$7),IF(Sheet1!R41+Sheet2!$AB$6&gt;=Sheet2!$AA$6,Sheet2!$W$7,IF(AND(Sheet1!O41&lt;Sheet2!$X$6,Sheet1!P41&lt;Sheet2!$Y$6,Sheet1!Q41&lt;Sheet2!$Z$6),IF(Sheet1!R41+Sheet2!$AB$5&gt;=Sheet2!$AA$5,Sheet2!$W$6,IF(AND(Sheet1!O41&lt;Sheet2!$X$5,Sheet1!P41&lt;Sheet2!$Y$5,Sheet1!Q41&lt;Sheet2!$Z$5),IF(Sheet1!R41+Sheet2!$AB$4&gt;=Sheet2!$AA$4,Sheet2!$W$5,IF(AND(Sheet1!O41&lt;Sheet2!$X$4,Sheet1!P41&lt;Sheet2!$Y$4,Sheet1!Q41&lt;Sheet2!$Z$4),Sheet2!$W$4,Sheet2!$W$5)),Sheet2!$W$6)),Sheet2!$W$7)),"超出《标准包裹》尺寸"))</f>
        <v>标准包裹</v>
      </c>
      <c r="T41" s="69">
        <f t="shared" si="12"/>
        <v>5.05035</v>
      </c>
      <c r="W41" s="75"/>
      <c r="X41" s="75"/>
      <c r="Y41" s="76"/>
    </row>
    <row r="42" ht="15" customHeight="1" spans="1:25">
      <c r="A42" s="46"/>
      <c r="B42" s="47"/>
      <c r="C42" s="45" t="s">
        <v>34</v>
      </c>
      <c r="D42" s="39">
        <f>IF(S42=Sheet2!$W$4,INDEX(Sheet2!$J$5:$Q$5,1,MATCH(Sheet1!C42,Sheet2!$J$3:$Q$3,0)),IF(S42=Sheet2!$W$5,INDEX(Sheet2!$J$6:$Q$8,MATCH(Sheet1!R42,Sheet2!$H$6:$H$8,1),MATCH(Sheet1!C42,Sheet2!$J$3:$Q$3,0)),IF(S42=Sheet2!$W$6,INDEX(Sheet2!$J$9:$Q$9,1,MATCH(Sheet1!C42,Sheet2!$J$3:$Q$3,0)),IF(S42=Sheet2!$W$7,INDEX(Sheet2!$J$10:$Q$24,MATCH(Sheet1!R42,Sheet2!$H$10:$H$24,1),MATCH(Sheet1!C42,Sheet2!$J$3:$Q$3,0)),"ERR COUNTRY!"))))</f>
        <v>4.1</v>
      </c>
      <c r="E42" s="52">
        <f t="shared" si="4"/>
        <v>2.2485</v>
      </c>
      <c r="F42" s="53" t="s">
        <v>30</v>
      </c>
      <c r="G42" s="52">
        <f t="shared" si="11"/>
        <v>2.49833333333333</v>
      </c>
      <c r="H42" s="52">
        <f t="shared" si="5"/>
        <v>3.14516666666667</v>
      </c>
      <c r="I42" s="52" t="s">
        <v>30</v>
      </c>
      <c r="J42" s="52">
        <f>IF(OR(C42=Sheet2!$A$10),0,L42*0.2)</f>
        <v>2.998</v>
      </c>
      <c r="K42" s="52">
        <f t="shared" si="6"/>
        <v>6.14316666666667</v>
      </c>
      <c r="L42" s="58">
        <v>14.99</v>
      </c>
      <c r="M42" s="52">
        <f>R42*$B$1</f>
        <v>7.6</v>
      </c>
      <c r="N42" s="24">
        <v>8</v>
      </c>
      <c r="O42" s="24">
        <v>24</v>
      </c>
      <c r="P42" s="24">
        <v>22</v>
      </c>
      <c r="Q42" s="24">
        <v>5</v>
      </c>
      <c r="R42" s="24">
        <v>200</v>
      </c>
      <c r="S42" s="26" t="str">
        <f>IF(Sheet1!R42+Sheet2!$AB$7&gt;=Sheet2!$AA$7,"超出《标准包裹》重量",IF(AND(Sheet1!O42&lt;Sheet2!$X$7,Sheet1!P42&lt;Sheet2!$Y$7,Sheet1!Q42&lt;Sheet2!$Z$7),IF(Sheet1!R42+Sheet2!$AB$6&gt;=Sheet2!$AA$6,Sheet2!$W$7,IF(AND(Sheet1!O42&lt;Sheet2!$X$6,Sheet1!P42&lt;Sheet2!$Y$6,Sheet1!Q42&lt;Sheet2!$Z$6),IF(Sheet1!R42+Sheet2!$AB$5&gt;=Sheet2!$AA$5,Sheet2!$W$6,IF(AND(Sheet1!O42&lt;Sheet2!$X$5,Sheet1!P42&lt;Sheet2!$Y$5,Sheet1!Q42&lt;Sheet2!$Z$5),IF(Sheet1!R42+Sheet2!$AB$4&gt;=Sheet2!$AA$4,Sheet2!$W$5,IF(AND(Sheet1!O42&lt;Sheet2!$X$4,Sheet1!P42&lt;Sheet2!$Y$4,Sheet1!Q42&lt;Sheet2!$Z$4),Sheet2!$W$4,Sheet2!$W$5)),Sheet2!$W$6)),Sheet2!$W$7)),"超出《标准包裹》尺寸"))</f>
        <v>标准包裹</v>
      </c>
      <c r="T42" s="69">
        <f t="shared" si="12"/>
        <v>6.73068333333333</v>
      </c>
      <c r="Y42" s="76"/>
    </row>
    <row r="43" ht="15" customHeight="1" spans="1:25">
      <c r="A43" s="46"/>
      <c r="B43" s="47"/>
      <c r="C43" s="45" t="s">
        <v>35</v>
      </c>
      <c r="D43" s="39">
        <f>IF(S43=Sheet2!$W$4,INDEX(Sheet2!$J$5:$Q$5,1,MATCH(Sheet1!C43,Sheet2!$J$3:$Q$3,0)),IF(S43=Sheet2!$W$5,INDEX(Sheet2!$J$6:$Q$8,MATCH(Sheet1!R43,Sheet2!$H$6:$H$8,1),MATCH(Sheet1!C43,Sheet2!$J$3:$Q$3,0)),IF(S43=Sheet2!$W$6,INDEX(Sheet2!$J$9:$Q$9,1,MATCH(Sheet1!C43,Sheet2!$J$3:$Q$3,0)),IF(S43=Sheet2!$W$7,INDEX(Sheet2!$J$10:$Q$24,MATCH(Sheet1!R43,Sheet2!$H$10:$H$24,1),MATCH(Sheet1!C43,Sheet2!$J$3:$Q$3,0)),"ERR COUNTRY!"))))</f>
        <v>3.16</v>
      </c>
      <c r="E43" s="52">
        <f t="shared" si="4"/>
        <v>2.0985</v>
      </c>
      <c r="F43" s="53" t="s">
        <v>30</v>
      </c>
      <c r="G43" s="52">
        <f t="shared" si="11"/>
        <v>2.33166666666667</v>
      </c>
      <c r="H43" s="52">
        <f t="shared" si="5"/>
        <v>3.60183333333333</v>
      </c>
      <c r="I43" s="52" t="s">
        <v>30</v>
      </c>
      <c r="J43" s="52">
        <f>IF(OR(C43=Sheet2!$A$10),0,L43*0.2)</f>
        <v>2.798</v>
      </c>
      <c r="K43" s="52">
        <f t="shared" si="6"/>
        <v>6.39983333333333</v>
      </c>
      <c r="L43" s="58">
        <v>13.99</v>
      </c>
      <c r="M43" s="52">
        <f>R43*$B$1</f>
        <v>7.6</v>
      </c>
      <c r="N43" s="24">
        <v>8</v>
      </c>
      <c r="O43" s="24">
        <v>24</v>
      </c>
      <c r="P43" s="24">
        <v>22</v>
      </c>
      <c r="Q43" s="24">
        <v>5</v>
      </c>
      <c r="R43" s="24">
        <v>200</v>
      </c>
      <c r="S43" s="26" t="str">
        <f>IF(Sheet1!R43+Sheet2!$AB$7&gt;=Sheet2!$AA$7,"超出《标准包裹》重量",IF(AND(Sheet1!O43&lt;Sheet2!$X$7,Sheet1!P43&lt;Sheet2!$Y$7,Sheet1!Q43&lt;Sheet2!$Z$7),IF(Sheet1!R43+Sheet2!$AB$6&gt;=Sheet2!$AA$6,Sheet2!$W$7,IF(AND(Sheet1!O43&lt;Sheet2!$X$6,Sheet1!P43&lt;Sheet2!$Y$6,Sheet1!Q43&lt;Sheet2!$Z$6),IF(Sheet1!R43+Sheet2!$AB$5&gt;=Sheet2!$AA$5,Sheet2!$W$6,IF(AND(Sheet1!O43&lt;Sheet2!$X$5,Sheet1!P43&lt;Sheet2!$Y$5,Sheet1!Q43&lt;Sheet2!$Z$5),IF(Sheet1!R43+Sheet2!$AB$4&gt;=Sheet2!$AA$4,Sheet2!$W$5,IF(AND(Sheet1!O43&lt;Sheet2!$X$4,Sheet1!P43&lt;Sheet2!$Y$4,Sheet1!Q43&lt;Sheet2!$Z$4),Sheet2!$W$4,Sheet2!$W$5)),Sheet2!$W$6)),Sheet2!$W$7)),"超出《标准包裹》尺寸"))</f>
        <v>标准包裹</v>
      </c>
      <c r="T43" s="69">
        <f t="shared" si="12"/>
        <v>9.97301666666667</v>
      </c>
      <c r="Y43" s="76"/>
    </row>
    <row r="44" ht="15" customHeight="1" spans="1:25">
      <c r="A44" s="46"/>
      <c r="B44" s="47"/>
      <c r="C44" s="45" t="s">
        <v>36</v>
      </c>
      <c r="D44" s="39">
        <f>IF(S44=Sheet2!$W$4,INDEX(Sheet2!$J$5:$Q$5,1,MATCH(Sheet1!C44,Sheet2!$J$3:$Q$3,0)),IF(S44=Sheet2!$W$5,INDEX(Sheet2!$J$6:$Q$8,MATCH(Sheet1!R44,Sheet2!$H$6:$H$8,1),MATCH(Sheet1!C44,Sheet2!$J$3:$Q$3,0)),IF(S44=Sheet2!$W$6,INDEX(Sheet2!$J$9:$Q$9,1,MATCH(Sheet1!C44,Sheet2!$J$3:$Q$3,0)),IF(S44=Sheet2!$W$7,INDEX(Sheet2!$J$10:$Q$24,MATCH(Sheet1!R44,Sheet2!$H$10:$H$24,1),MATCH(Sheet1!C44,Sheet2!$J$3:$Q$3,0)),"ERR COUNTRY!"))))</f>
        <v>42.91</v>
      </c>
      <c r="E44" s="52">
        <f t="shared" si="4"/>
        <v>21.3</v>
      </c>
      <c r="F44" s="53" t="s">
        <v>30</v>
      </c>
      <c r="G44" s="52">
        <f t="shared" si="11"/>
        <v>23.6666666666667</v>
      </c>
      <c r="H44" s="52">
        <f t="shared" si="5"/>
        <v>25.7233333333333</v>
      </c>
      <c r="I44" s="52" t="s">
        <v>30</v>
      </c>
      <c r="J44" s="52">
        <f>IF(OR(C44=Sheet2!$A$10),0,L44*0.2)</f>
        <v>28.4</v>
      </c>
      <c r="K44" s="52">
        <f t="shared" si="6"/>
        <v>54.1233333333333</v>
      </c>
      <c r="L44" s="58">
        <v>142</v>
      </c>
      <c r="M44" s="52">
        <f>R44*$B$1</f>
        <v>7.6</v>
      </c>
      <c r="N44" s="24">
        <v>8</v>
      </c>
      <c r="O44" s="24">
        <v>24</v>
      </c>
      <c r="P44" s="24">
        <v>22</v>
      </c>
      <c r="Q44" s="24">
        <v>5</v>
      </c>
      <c r="R44" s="24">
        <v>200</v>
      </c>
      <c r="S44" s="26" t="str">
        <f>IF(Sheet1!R44+Sheet2!$AB$7&gt;=Sheet2!$AA$7,"超出《标准包裹》重量",IF(AND(Sheet1!O44&lt;Sheet2!$X$7,Sheet1!P44&lt;Sheet2!$Y$7,Sheet1!Q44&lt;Sheet2!$Z$7),IF(Sheet1!R44+Sheet2!$AB$6&gt;=Sheet2!$AA$6,Sheet2!$W$7,IF(AND(Sheet1!O44&lt;Sheet2!$X$6,Sheet1!P44&lt;Sheet2!$Y$6,Sheet1!Q44&lt;Sheet2!$Z$6),IF(Sheet1!R44+Sheet2!$AB$5&gt;=Sheet2!$AA$5,Sheet2!$W$6,IF(AND(Sheet1!O44&lt;Sheet2!$X$5,Sheet1!P44&lt;Sheet2!$Y$5,Sheet1!Q44&lt;Sheet2!$Z$5),IF(Sheet1!R44+Sheet2!$AB$4&gt;=Sheet2!$AA$4,Sheet2!$W$5,IF(AND(Sheet1!O44&lt;Sheet2!$X$4,Sheet1!P44&lt;Sheet2!$Y$4,Sheet1!Q44&lt;Sheet2!$Z$4),Sheet2!$W$4,Sheet2!$W$5)),Sheet2!$W$6)),Sheet2!$W$7)),"超出《标准包裹》尺寸"))</f>
        <v>标准包裹</v>
      </c>
      <c r="T44" s="69">
        <f>H44*0.63-N44-M44</f>
        <v>0.605700000000008</v>
      </c>
      <c r="Y44" s="76"/>
    </row>
    <row r="45" ht="15" customHeight="1" spans="1:25">
      <c r="A45" s="46"/>
      <c r="B45" s="47"/>
      <c r="C45" s="45" t="s">
        <v>37</v>
      </c>
      <c r="D45" s="39">
        <f>IF(S45=Sheet2!$W$4,INDEX(Sheet2!$J$5:$Q$5,1,MATCH(Sheet1!C45,Sheet2!$J$3:$Q$3,0)),IF(S45=Sheet2!$W$5,INDEX(Sheet2!$J$6:$Q$8,MATCH(Sheet1!R45,Sheet2!$H$6:$H$8,1),MATCH(Sheet1!C45,Sheet2!$J$3:$Q$3,0)),IF(S45=Sheet2!$W$6,INDEX(Sheet2!$J$9:$Q$9,1,MATCH(Sheet1!C45,Sheet2!$J$3:$Q$3,0)),IF(S45=Sheet2!$W$7,INDEX(Sheet2!$J$10:$Q$24,MATCH(Sheet1!R45,Sheet2!$H$10:$H$24,1),MATCH(Sheet1!C45,Sheet2!$J$3:$Q$3,0)),"ERR COUNTRY!"))))</f>
        <v>5.66</v>
      </c>
      <c r="E45" s="52">
        <f t="shared" si="4"/>
        <v>7.2</v>
      </c>
      <c r="F45" s="53" t="s">
        <v>30</v>
      </c>
      <c r="G45" s="52">
        <f t="shared" si="11"/>
        <v>8</v>
      </c>
      <c r="H45" s="52">
        <f t="shared" si="5"/>
        <v>17.54</v>
      </c>
      <c r="I45" s="52" t="s">
        <v>30</v>
      </c>
      <c r="J45" s="52">
        <f>IF(OR(C45=Sheet2!$A$10),0,L45*0.2)</f>
        <v>9.6</v>
      </c>
      <c r="K45" s="52">
        <f t="shared" si="6"/>
        <v>27.14</v>
      </c>
      <c r="L45" s="58">
        <v>48</v>
      </c>
      <c r="M45" s="52">
        <f>R45*$B$1</f>
        <v>7.6</v>
      </c>
      <c r="N45" s="24">
        <v>8</v>
      </c>
      <c r="O45" s="24">
        <v>24</v>
      </c>
      <c r="P45" s="24">
        <v>22</v>
      </c>
      <c r="Q45" s="24">
        <v>5</v>
      </c>
      <c r="R45" s="24">
        <v>200</v>
      </c>
      <c r="S45" s="26" t="str">
        <f>IF(Sheet1!R45+Sheet2!$AB$7&gt;=Sheet2!$AA$7,"超出《标准包裹》重量",IF(AND(Sheet1!O45&lt;Sheet2!$X$7,Sheet1!P45&lt;Sheet2!$Y$7,Sheet1!Q45&lt;Sheet2!$Z$7),IF(Sheet1!R45+Sheet2!$AB$6&gt;=Sheet2!$AA$6,Sheet2!$W$7,IF(AND(Sheet1!O45&lt;Sheet2!$X$6,Sheet1!P45&lt;Sheet2!$Y$6,Sheet1!Q45&lt;Sheet2!$Z$6),IF(Sheet1!R45+Sheet2!$AB$5&gt;=Sheet2!$AA$5,Sheet2!$W$6,IF(AND(Sheet1!O45&lt;Sheet2!$X$5,Sheet1!P45&lt;Sheet2!$Y$5,Sheet1!Q45&lt;Sheet2!$Z$5),IF(Sheet1!R45+Sheet2!$AB$4&gt;=Sheet2!$AA$4,Sheet2!$W$5,IF(AND(Sheet1!O45&lt;Sheet2!$X$4,Sheet1!P45&lt;Sheet2!$Y$4,Sheet1!Q45&lt;Sheet2!$Z$4),Sheet2!$W$4,Sheet2!$W$5)),Sheet2!$W$6)),Sheet2!$W$7)),"超出《标准包裹》尺寸"))</f>
        <v>标准包裹</v>
      </c>
      <c r="T45" s="69">
        <f>H45*1.38-N45-M45</f>
        <v>8.6052</v>
      </c>
      <c r="Y45" s="76"/>
    </row>
    <row r="46" spans="1:25">
      <c r="A46" s="46"/>
      <c r="B46" s="47"/>
      <c r="C46" s="45"/>
      <c r="D46" s="39">
        <v>0</v>
      </c>
      <c r="E46" s="52">
        <f t="shared" si="4"/>
        <v>9</v>
      </c>
      <c r="F46" s="53" t="s">
        <v>39</v>
      </c>
      <c r="G46" s="52">
        <v>0</v>
      </c>
      <c r="H46" s="52">
        <f t="shared" si="5"/>
        <v>51</v>
      </c>
      <c r="I46" s="52" t="s">
        <v>30</v>
      </c>
      <c r="J46" s="52">
        <f>IF(OR(C46=Sheet2!$A$10),0,L46*0.2)</f>
        <v>0</v>
      </c>
      <c r="K46" s="52">
        <f t="shared" si="6"/>
        <v>51</v>
      </c>
      <c r="L46" s="59">
        <v>60</v>
      </c>
      <c r="M46" s="52">
        <f>R46*$B$1</f>
        <v>7.6</v>
      </c>
      <c r="N46" s="24">
        <v>8</v>
      </c>
      <c r="O46" s="64"/>
      <c r="P46" s="64"/>
      <c r="Q46" s="64"/>
      <c r="R46" s="24">
        <v>200</v>
      </c>
      <c r="S46" s="70"/>
      <c r="T46" s="69">
        <f>H46*0.44-N46-M46</f>
        <v>6.84</v>
      </c>
      <c r="Y46" s="76"/>
    </row>
    <row r="47" ht="15" customHeight="1" spans="1:25">
      <c r="A47" s="43" t="s">
        <v>44</v>
      </c>
      <c r="B47" s="78">
        <v>18</v>
      </c>
      <c r="C47" s="45" t="s">
        <v>29</v>
      </c>
      <c r="D47" s="39">
        <f>IF(S47=Sheet2!$W$4,INDEX(Sheet2!$J$5:$Q$5,1,MATCH(Sheet1!C47,Sheet2!$J$3:$Q$3,0)),IF(S47=Sheet2!$W$5,INDEX(Sheet2!$J$6:$Q$8,MATCH(Sheet1!R47,Sheet2!$H$6:$H$8,1),MATCH(Sheet1!C47,Sheet2!$J$3:$Q$3,0)),IF(S47=Sheet2!$W$6,INDEX(Sheet2!$J$9:$Q$9,1,MATCH(Sheet1!C47,Sheet2!$J$3:$Q$3,0)),IF(S47=Sheet2!$W$7,INDEX(Sheet2!$J$10:$Q$24,MATCH(Sheet1!R47,Sheet2!$H$10:$H$24,1),MATCH(Sheet1!C47,Sheet2!$J$3:$Q$3,0)),"ERR COUNTRY!"))))</f>
        <v>2.77</v>
      </c>
      <c r="E47" s="52">
        <f t="shared" si="4"/>
        <v>2.9985</v>
      </c>
      <c r="F47" s="53" t="s">
        <v>30</v>
      </c>
      <c r="G47" s="52">
        <f t="shared" ref="G47:G54" si="13">L47-L47/(1+20%)</f>
        <v>3.33166666666667</v>
      </c>
      <c r="H47" s="52">
        <f t="shared" si="5"/>
        <v>6.89183333333333</v>
      </c>
      <c r="I47" s="52" t="s">
        <v>30</v>
      </c>
      <c r="J47" s="52">
        <f>IF(OR(C47=Sheet2!$A$10),0,L47*0.2)</f>
        <v>3.998</v>
      </c>
      <c r="K47" s="52">
        <f t="shared" si="6"/>
        <v>10.8898333333333</v>
      </c>
      <c r="L47" s="58">
        <v>19.99</v>
      </c>
      <c r="M47" s="52">
        <f>R47*$B$1</f>
        <v>7.6</v>
      </c>
      <c r="N47" s="24">
        <v>5</v>
      </c>
      <c r="O47" s="24">
        <v>10</v>
      </c>
      <c r="P47" s="24">
        <v>24</v>
      </c>
      <c r="Q47" s="24">
        <v>21</v>
      </c>
      <c r="R47" s="24">
        <v>200</v>
      </c>
      <c r="S47" s="26" t="str">
        <f>IF(Sheet1!R47+Sheet2!$AB$7&gt;=Sheet2!$AA$7,"超出《标准包裹》重量",IF(AND(Sheet1!O47&lt;Sheet2!$X$7,Sheet1!P47&lt;Sheet2!$Y$7,Sheet1!Q47&lt;Sheet2!$Z$7),IF(Sheet1!R47+Sheet2!$AB$6&gt;=Sheet2!$AA$6,Sheet2!$W$7,IF(AND(Sheet1!O47&lt;Sheet2!$X$6,Sheet1!P47&lt;Sheet2!$Y$6,Sheet1!Q47&lt;Sheet2!$Z$6),IF(Sheet1!R47+Sheet2!$AB$5&gt;=Sheet2!$AA$5,Sheet2!$W$6,IF(AND(Sheet1!O47&lt;Sheet2!$X$5,Sheet1!P47&lt;Sheet2!$Y$5,Sheet1!Q47&lt;Sheet2!$Z$5),IF(Sheet1!R47+Sheet2!$AB$4&gt;=Sheet2!$AA$4,Sheet2!$W$5,IF(AND(Sheet1!O47&lt;Sheet2!$X$4,Sheet1!P47&lt;Sheet2!$Y$4,Sheet1!Q47&lt;Sheet2!$Z$4),Sheet2!$W$4,Sheet2!$W$5)),Sheet2!$W$6)),Sheet2!$W$7)),"超出《标准包裹》尺寸"))</f>
        <v>标准包裹</v>
      </c>
      <c r="T47" s="69">
        <f>H47*8.3-N47-M47</f>
        <v>44.6022166666667</v>
      </c>
      <c r="W47" s="74"/>
      <c r="X47" s="74"/>
      <c r="Y47" s="76"/>
    </row>
    <row r="48" ht="15" customHeight="1" spans="1:25">
      <c r="A48" s="46"/>
      <c r="B48" s="47"/>
      <c r="C48" s="45" t="s">
        <v>31</v>
      </c>
      <c r="D48" s="39">
        <f>IF(S48=Sheet2!$W$4,INDEX(Sheet2!$J$5:$Q$5,1,MATCH(Sheet1!C48,Sheet2!$J$3:$Q$3,0)),IF(S48=Sheet2!$W$5,INDEX(Sheet2!$J$6:$Q$8,MATCH(Sheet1!R48,Sheet2!$H$6:$H$8,1),MATCH(Sheet1!C48,Sheet2!$J$3:$Q$3,0)),IF(S48=Sheet2!$W$6,INDEX(Sheet2!$J$9:$Q$9,1,MATCH(Sheet1!C48,Sheet2!$J$3:$Q$3,0)),IF(S48=Sheet2!$W$7,INDEX(Sheet2!$J$10:$Q$24,MATCH(Sheet1!R48,Sheet2!$H$10:$H$24,1),MATCH(Sheet1!C48,Sheet2!$J$3:$Q$3,0)),"ERR COUNTRY!"))))</f>
        <v>4.19</v>
      </c>
      <c r="E48" s="52">
        <f t="shared" si="4"/>
        <v>3.4485</v>
      </c>
      <c r="F48" s="53" t="s">
        <v>30</v>
      </c>
      <c r="G48" s="52">
        <f t="shared" si="13"/>
        <v>3.83166666666667</v>
      </c>
      <c r="H48" s="52">
        <f t="shared" si="5"/>
        <v>6.92183333333333</v>
      </c>
      <c r="I48" s="52" t="s">
        <v>30</v>
      </c>
      <c r="J48" s="52">
        <f>IF(OR(C48=Sheet2!$A$10),0,L48*0.2)</f>
        <v>4.598</v>
      </c>
      <c r="K48" s="52">
        <f t="shared" si="6"/>
        <v>11.5198333333333</v>
      </c>
      <c r="L48" s="79">
        <v>22.99</v>
      </c>
      <c r="M48" s="52">
        <v>7.6</v>
      </c>
      <c r="N48" s="24">
        <v>38.5</v>
      </c>
      <c r="O48" s="24">
        <v>15</v>
      </c>
      <c r="P48" s="24">
        <v>16</v>
      </c>
      <c r="Q48" s="24">
        <v>15</v>
      </c>
      <c r="R48" s="24">
        <v>400</v>
      </c>
      <c r="S48" s="26" t="str">
        <f>IF(Sheet1!R48+Sheet2!$AB$7&gt;=Sheet2!$AA$7,"超出《标准包裹》重量",IF(AND(Sheet1!O48&lt;Sheet2!$X$7,Sheet1!P48&lt;Sheet2!$Y$7,Sheet1!Q48&lt;Sheet2!$Z$7),IF(Sheet1!R48+Sheet2!$AB$6&gt;=Sheet2!$AA$6,Sheet2!$W$7,IF(AND(Sheet1!O48&lt;Sheet2!$X$6,Sheet1!P48&lt;Sheet2!$Y$6,Sheet1!Q48&lt;Sheet2!$Z$6),IF(Sheet1!R48+Sheet2!$AB$5&gt;=Sheet2!$AA$5,Sheet2!$W$6,IF(AND(Sheet1!O48&lt;Sheet2!$X$5,Sheet1!P48&lt;Sheet2!$Y$5,Sheet1!Q48&lt;Sheet2!$Z$5),IF(Sheet1!R48+Sheet2!$AB$4&gt;=Sheet2!$AA$4,Sheet2!$W$5,IF(AND(Sheet1!O48&lt;Sheet2!$X$4,Sheet1!P48&lt;Sheet2!$Y$4,Sheet1!Q48&lt;Sheet2!$Z$4),Sheet2!$W$4,Sheet2!$W$5)),Sheet2!$W$6)),Sheet2!$W$7)),"超出《标准包裹》尺寸"))</f>
        <v>标准包裹</v>
      </c>
      <c r="T48" s="69">
        <f t="shared" ref="T48:T52" si="14">H48*7.1-N48-M48</f>
        <v>3.04501666666666</v>
      </c>
      <c r="X48" s="74"/>
      <c r="Y48" s="76"/>
    </row>
    <row r="49" ht="15" customHeight="1" spans="1:25">
      <c r="A49" s="46"/>
      <c r="B49" s="47"/>
      <c r="C49" s="45" t="s">
        <v>32</v>
      </c>
      <c r="D49" s="39">
        <f>IF(S49=Sheet2!$W$4,INDEX(Sheet2!$J$5:$Q$5,1,MATCH(Sheet1!C49,Sheet2!$J$3:$Q$3,0)),IF(S49=Sheet2!$W$5,INDEX(Sheet2!$J$6:$Q$8,MATCH(Sheet1!R49,Sheet2!$H$6:$H$8,1),MATCH(Sheet1!C49,Sheet2!$J$3:$Q$3,0)),IF(S49=Sheet2!$W$6,INDEX(Sheet2!$J$9:$Q$9,1,MATCH(Sheet1!C49,Sheet2!$J$3:$Q$3,0)),IF(S49=Sheet2!$W$7,INDEX(Sheet2!$J$10:$Q$24,MATCH(Sheet1!R49,Sheet2!$H$10:$H$24,1),MATCH(Sheet1!C49,Sheet2!$J$3:$Q$3,0)),"ERR COUNTRY!"))))</f>
        <v>6.14</v>
      </c>
      <c r="E49" s="52">
        <f t="shared" si="4"/>
        <v>3.8985</v>
      </c>
      <c r="F49" s="53" t="s">
        <v>30</v>
      </c>
      <c r="G49" s="52">
        <f t="shared" si="13"/>
        <v>4.33166666666667</v>
      </c>
      <c r="H49" s="52">
        <f t="shared" si="5"/>
        <v>6.42183333333333</v>
      </c>
      <c r="I49" s="52" t="s">
        <v>30</v>
      </c>
      <c r="J49" s="52">
        <f>IF(OR(C49=Sheet2!$A$10),0,L49*0.2)</f>
        <v>5.198</v>
      </c>
      <c r="K49" s="52">
        <f t="shared" si="6"/>
        <v>11.6198333333333</v>
      </c>
      <c r="L49" s="58">
        <v>25.99</v>
      </c>
      <c r="M49" s="52">
        <f>R49*$B$1</f>
        <v>22.8</v>
      </c>
      <c r="N49" s="24">
        <v>20</v>
      </c>
      <c r="O49" s="24">
        <v>14</v>
      </c>
      <c r="P49" s="24">
        <v>12</v>
      </c>
      <c r="Q49" s="24">
        <v>8</v>
      </c>
      <c r="R49" s="24">
        <v>600</v>
      </c>
      <c r="S49" s="26" t="str">
        <f>IF(Sheet1!R49+Sheet2!$AB$7&gt;=Sheet2!$AA$7,"超出《标准包裹》重量",IF(AND(Sheet1!O49&lt;Sheet2!$X$7,Sheet1!P49&lt;Sheet2!$Y$7,Sheet1!Q49&lt;Sheet2!$Z$7),IF(Sheet1!R49+Sheet2!$AB$6&gt;=Sheet2!$AA$6,Sheet2!$W$7,IF(AND(Sheet1!O49&lt;Sheet2!$X$6,Sheet1!P49&lt;Sheet2!$Y$6,Sheet1!Q49&lt;Sheet2!$Z$6),IF(Sheet1!R49+Sheet2!$AB$5&gt;=Sheet2!$AA$5,Sheet2!$W$6,IF(AND(Sheet1!O49&lt;Sheet2!$X$5,Sheet1!P49&lt;Sheet2!$Y$5,Sheet1!Q49&lt;Sheet2!$Z$5),IF(Sheet1!R49+Sheet2!$AB$4&gt;=Sheet2!$AA$4,Sheet2!$W$5,IF(AND(Sheet1!O49&lt;Sheet2!$X$4,Sheet1!P49&lt;Sheet2!$Y$4,Sheet1!Q49&lt;Sheet2!$Z$4),Sheet2!$W$4,Sheet2!$W$5)),Sheet2!$W$6)),Sheet2!$W$7)),"超出《标准包裹》尺寸"))</f>
        <v>标准包裹</v>
      </c>
      <c r="T49" s="69">
        <f t="shared" si="14"/>
        <v>2.79501666666665</v>
      </c>
      <c r="Y49" s="76"/>
    </row>
    <row r="50" ht="15" customHeight="1" spans="1:25">
      <c r="A50" s="46"/>
      <c r="B50" s="47"/>
      <c r="C50" s="45" t="s">
        <v>33</v>
      </c>
      <c r="D50" s="39">
        <f>IF(S50=Sheet2!$W$4,INDEX(Sheet2!$J$5:$Q$5,1,MATCH(Sheet1!C50,Sheet2!$J$3:$Q$3,0)),IF(S50=Sheet2!$W$5,INDEX(Sheet2!$J$6:$Q$8,MATCH(Sheet1!R50,Sheet2!$H$6:$H$8,1),MATCH(Sheet1!C50,Sheet2!$J$3:$Q$3,0)),IF(S50=Sheet2!$W$6,INDEX(Sheet2!$J$9:$Q$9,1,MATCH(Sheet1!C50,Sheet2!$J$3:$Q$3,0)),IF(S50=Sheet2!$W$7,INDEX(Sheet2!$J$10:$Q$24,MATCH(Sheet1!R50,Sheet2!$H$10:$H$24,1),MATCH(Sheet1!C50,Sheet2!$J$3:$Q$3,0)),"ERR COUNTRY!"))))</f>
        <v>4.82</v>
      </c>
      <c r="E50" s="52">
        <f t="shared" si="4"/>
        <v>3.8985</v>
      </c>
      <c r="F50" s="53" t="s">
        <v>30</v>
      </c>
      <c r="G50" s="52">
        <f t="shared" si="13"/>
        <v>4.33166666666667</v>
      </c>
      <c r="H50" s="52">
        <f t="shared" si="5"/>
        <v>7.74183333333333</v>
      </c>
      <c r="I50" s="52" t="s">
        <v>30</v>
      </c>
      <c r="J50" s="52">
        <f>IF(OR(C50=Sheet2!$A$10),0,L50*0.2)</f>
        <v>5.198</v>
      </c>
      <c r="K50" s="52">
        <f t="shared" si="6"/>
        <v>12.9398333333333</v>
      </c>
      <c r="L50" s="58">
        <v>25.99</v>
      </c>
      <c r="M50" s="52">
        <f>R50*$B$1</f>
        <v>7.6</v>
      </c>
      <c r="N50" s="24">
        <v>14</v>
      </c>
      <c r="O50" s="24">
        <v>24</v>
      </c>
      <c r="P50" s="24">
        <v>22</v>
      </c>
      <c r="Q50" s="24">
        <v>5</v>
      </c>
      <c r="R50" s="24">
        <v>200</v>
      </c>
      <c r="S50" s="26" t="str">
        <f>IF(Sheet1!R50+Sheet2!$AB$7&gt;=Sheet2!$AA$7,"超出《标准包裹》重量",IF(AND(Sheet1!O50&lt;Sheet2!$X$7,Sheet1!P50&lt;Sheet2!$Y$7,Sheet1!Q50&lt;Sheet2!$Z$7),IF(Sheet1!R50+Sheet2!$AB$6&gt;=Sheet2!$AA$6,Sheet2!$W$7,IF(AND(Sheet1!O50&lt;Sheet2!$X$6,Sheet1!P50&lt;Sheet2!$Y$6,Sheet1!Q50&lt;Sheet2!$Z$6),IF(Sheet1!R50+Sheet2!$AB$5&gt;=Sheet2!$AA$5,Sheet2!$W$6,IF(AND(Sheet1!O50&lt;Sheet2!$X$5,Sheet1!P50&lt;Sheet2!$Y$5,Sheet1!Q50&lt;Sheet2!$Z$5),IF(Sheet1!R50+Sheet2!$AB$4&gt;=Sheet2!$AA$4,Sheet2!$W$5,IF(AND(Sheet1!O50&lt;Sheet2!$X$4,Sheet1!P50&lt;Sheet2!$Y$4,Sheet1!Q50&lt;Sheet2!$Z$4),Sheet2!$W$4,Sheet2!$W$5)),Sheet2!$W$6)),Sheet2!$W$7)),"超出《标准包裹》尺寸"))</f>
        <v>标准包裹</v>
      </c>
      <c r="T50" s="69">
        <f t="shared" si="14"/>
        <v>33.3670166666667</v>
      </c>
      <c r="W50" s="75"/>
      <c r="X50" s="75"/>
      <c r="Y50" s="76"/>
    </row>
    <row r="51" ht="15" customHeight="1" spans="1:25">
      <c r="A51" s="46"/>
      <c r="B51" s="47"/>
      <c r="C51" s="45" t="s">
        <v>34</v>
      </c>
      <c r="D51" s="39">
        <f>IF(S51=Sheet2!$W$4,INDEX(Sheet2!$J$5:$Q$5,1,MATCH(Sheet1!C51,Sheet2!$J$3:$Q$3,0)),IF(S51=Sheet2!$W$5,INDEX(Sheet2!$J$6:$Q$8,MATCH(Sheet1!R51,Sheet2!$H$6:$H$8,1),MATCH(Sheet1!C51,Sheet2!$J$3:$Q$3,0)),IF(S51=Sheet2!$W$6,INDEX(Sheet2!$J$9:$Q$9,1,MATCH(Sheet1!C51,Sheet2!$J$3:$Q$3,0)),IF(S51=Sheet2!$W$7,INDEX(Sheet2!$J$10:$Q$24,MATCH(Sheet1!R51,Sheet2!$H$10:$H$24,1),MATCH(Sheet1!C51,Sheet2!$J$3:$Q$3,0)),"ERR COUNTRY!"))))</f>
        <v>4.1</v>
      </c>
      <c r="E51" s="52">
        <f t="shared" si="4"/>
        <v>2.2485</v>
      </c>
      <c r="F51" s="53" t="s">
        <v>30</v>
      </c>
      <c r="G51" s="52">
        <f t="shared" si="13"/>
        <v>2.49833333333333</v>
      </c>
      <c r="H51" s="52">
        <f t="shared" si="5"/>
        <v>3.14516666666667</v>
      </c>
      <c r="I51" s="52" t="s">
        <v>30</v>
      </c>
      <c r="J51" s="52">
        <f>IF(OR(C51=Sheet2!$A$10),0,L51*0.2)</f>
        <v>2.998</v>
      </c>
      <c r="K51" s="52">
        <f t="shared" si="6"/>
        <v>6.14316666666667</v>
      </c>
      <c r="L51" s="58">
        <v>14.99</v>
      </c>
      <c r="M51" s="52">
        <f>R51*$B$1</f>
        <v>7.6</v>
      </c>
      <c r="N51" s="24">
        <v>8</v>
      </c>
      <c r="O51" s="24">
        <v>24</v>
      </c>
      <c r="P51" s="24">
        <v>22</v>
      </c>
      <c r="Q51" s="24">
        <v>5</v>
      </c>
      <c r="R51" s="24">
        <v>200</v>
      </c>
      <c r="S51" s="26" t="str">
        <f>IF(Sheet1!R51+Sheet2!$AB$7&gt;=Sheet2!$AA$7,"超出《标准包裹》重量",IF(AND(Sheet1!O51&lt;Sheet2!$X$7,Sheet1!P51&lt;Sheet2!$Y$7,Sheet1!Q51&lt;Sheet2!$Z$7),IF(Sheet1!R51+Sheet2!$AB$6&gt;=Sheet2!$AA$6,Sheet2!$W$7,IF(AND(Sheet1!O51&lt;Sheet2!$X$6,Sheet1!P51&lt;Sheet2!$Y$6,Sheet1!Q51&lt;Sheet2!$Z$6),IF(Sheet1!R51+Sheet2!$AB$5&gt;=Sheet2!$AA$5,Sheet2!$W$6,IF(AND(Sheet1!O51&lt;Sheet2!$X$5,Sheet1!P51&lt;Sheet2!$Y$5,Sheet1!Q51&lt;Sheet2!$Z$5),IF(Sheet1!R51+Sheet2!$AB$4&gt;=Sheet2!$AA$4,Sheet2!$W$5,IF(AND(Sheet1!O51&lt;Sheet2!$X$4,Sheet1!P51&lt;Sheet2!$Y$4,Sheet1!Q51&lt;Sheet2!$Z$4),Sheet2!$W$4,Sheet2!$W$5)),Sheet2!$W$6)),Sheet2!$W$7)),"超出《标准包裹》尺寸"))</f>
        <v>标准包裹</v>
      </c>
      <c r="T51" s="69">
        <f t="shared" si="14"/>
        <v>6.73068333333333</v>
      </c>
      <c r="Y51" s="76"/>
    </row>
    <row r="52" ht="15" customHeight="1" spans="1:25">
      <c r="A52" s="46"/>
      <c r="B52" s="47"/>
      <c r="C52" s="45" t="s">
        <v>35</v>
      </c>
      <c r="D52" s="39">
        <f>IF(S52=Sheet2!$W$4,INDEX(Sheet2!$J$5:$Q$5,1,MATCH(Sheet1!C52,Sheet2!$J$3:$Q$3,0)),IF(S52=Sheet2!$W$5,INDEX(Sheet2!$J$6:$Q$8,MATCH(Sheet1!R52,Sheet2!$H$6:$H$8,1),MATCH(Sheet1!C52,Sheet2!$J$3:$Q$3,0)),IF(S52=Sheet2!$W$6,INDEX(Sheet2!$J$9:$Q$9,1,MATCH(Sheet1!C52,Sheet2!$J$3:$Q$3,0)),IF(S52=Sheet2!$W$7,INDEX(Sheet2!$J$10:$Q$24,MATCH(Sheet1!R52,Sheet2!$H$10:$H$24,1),MATCH(Sheet1!C52,Sheet2!$J$3:$Q$3,0)),"ERR COUNTRY!"))))</f>
        <v>3.16</v>
      </c>
      <c r="E52" s="52">
        <f t="shared" si="4"/>
        <v>2.0985</v>
      </c>
      <c r="F52" s="53" t="s">
        <v>30</v>
      </c>
      <c r="G52" s="52">
        <f t="shared" si="13"/>
        <v>2.33166666666667</v>
      </c>
      <c r="H52" s="52">
        <f t="shared" si="5"/>
        <v>3.60183333333333</v>
      </c>
      <c r="I52" s="52" t="s">
        <v>30</v>
      </c>
      <c r="J52" s="52">
        <f>IF(OR(C52=Sheet2!$A$10),0,L52*0.2)</f>
        <v>2.798</v>
      </c>
      <c r="K52" s="52">
        <f t="shared" si="6"/>
        <v>6.39983333333333</v>
      </c>
      <c r="L52" s="58">
        <v>13.99</v>
      </c>
      <c r="M52" s="52">
        <f>R52*$B$1</f>
        <v>7.6</v>
      </c>
      <c r="N52" s="24">
        <v>8</v>
      </c>
      <c r="O52" s="24">
        <v>24</v>
      </c>
      <c r="P52" s="24">
        <v>22</v>
      </c>
      <c r="Q52" s="24">
        <v>5</v>
      </c>
      <c r="R52" s="24">
        <v>200</v>
      </c>
      <c r="S52" s="26" t="str">
        <f>IF(Sheet1!R52+Sheet2!$AB$7&gt;=Sheet2!$AA$7,"超出《标准包裹》重量",IF(AND(Sheet1!O52&lt;Sheet2!$X$7,Sheet1!P52&lt;Sheet2!$Y$7,Sheet1!Q52&lt;Sheet2!$Z$7),IF(Sheet1!R52+Sheet2!$AB$6&gt;=Sheet2!$AA$6,Sheet2!$W$7,IF(AND(Sheet1!O52&lt;Sheet2!$X$6,Sheet1!P52&lt;Sheet2!$Y$6,Sheet1!Q52&lt;Sheet2!$Z$6),IF(Sheet1!R52+Sheet2!$AB$5&gt;=Sheet2!$AA$5,Sheet2!$W$6,IF(AND(Sheet1!O52&lt;Sheet2!$X$5,Sheet1!P52&lt;Sheet2!$Y$5,Sheet1!Q52&lt;Sheet2!$Z$5),IF(Sheet1!R52+Sheet2!$AB$4&gt;=Sheet2!$AA$4,Sheet2!$W$5,IF(AND(Sheet1!O52&lt;Sheet2!$X$4,Sheet1!P52&lt;Sheet2!$Y$4,Sheet1!Q52&lt;Sheet2!$Z$4),Sheet2!$W$4,Sheet2!$W$5)),Sheet2!$W$6)),Sheet2!$W$7)),"超出《标准包裹》尺寸"))</f>
        <v>标准包裹</v>
      </c>
      <c r="T52" s="69">
        <f t="shared" si="14"/>
        <v>9.97301666666667</v>
      </c>
      <c r="Y52" s="76"/>
    </row>
    <row r="53" ht="15" customHeight="1" spans="1:25">
      <c r="A53" s="46"/>
      <c r="B53" s="47"/>
      <c r="C53" s="45" t="s">
        <v>36</v>
      </c>
      <c r="D53" s="39">
        <f>IF(S53=Sheet2!$W$4,INDEX(Sheet2!$J$5:$Q$5,1,MATCH(Sheet1!C53,Sheet2!$J$3:$Q$3,0)),IF(S53=Sheet2!$W$5,INDEX(Sheet2!$J$6:$Q$8,MATCH(Sheet1!R53,Sheet2!$H$6:$H$8,1),MATCH(Sheet1!C53,Sheet2!$J$3:$Q$3,0)),IF(S53=Sheet2!$W$6,INDEX(Sheet2!$J$9:$Q$9,1,MATCH(Sheet1!C53,Sheet2!$J$3:$Q$3,0)),IF(S53=Sheet2!$W$7,INDEX(Sheet2!$J$10:$Q$24,MATCH(Sheet1!R53,Sheet2!$H$10:$H$24,1),MATCH(Sheet1!C53,Sheet2!$J$3:$Q$3,0)),"ERR COUNTRY!"))))</f>
        <v>42.91</v>
      </c>
      <c r="E53" s="52">
        <f t="shared" si="4"/>
        <v>21.3</v>
      </c>
      <c r="F53" s="53" t="s">
        <v>30</v>
      </c>
      <c r="G53" s="52">
        <f t="shared" si="13"/>
        <v>23.6666666666667</v>
      </c>
      <c r="H53" s="52">
        <f t="shared" si="5"/>
        <v>25.7233333333333</v>
      </c>
      <c r="I53" s="52" t="s">
        <v>30</v>
      </c>
      <c r="J53" s="52">
        <f>IF(OR(C53=Sheet2!$A$10),0,L53*0.2)</f>
        <v>28.4</v>
      </c>
      <c r="K53" s="52">
        <f t="shared" si="6"/>
        <v>54.1233333333333</v>
      </c>
      <c r="L53" s="58">
        <v>142</v>
      </c>
      <c r="M53" s="52">
        <f>R53*$B$1</f>
        <v>7.6</v>
      </c>
      <c r="N53" s="24">
        <v>8</v>
      </c>
      <c r="O53" s="24">
        <v>24</v>
      </c>
      <c r="P53" s="24">
        <v>22</v>
      </c>
      <c r="Q53" s="24">
        <v>5</v>
      </c>
      <c r="R53" s="24">
        <v>200</v>
      </c>
      <c r="S53" s="26" t="str">
        <f>IF(Sheet1!R53+Sheet2!$AB$7&gt;=Sheet2!$AA$7,"超出《标准包裹》重量",IF(AND(Sheet1!O53&lt;Sheet2!$X$7,Sheet1!P53&lt;Sheet2!$Y$7,Sheet1!Q53&lt;Sheet2!$Z$7),IF(Sheet1!R53+Sheet2!$AB$6&gt;=Sheet2!$AA$6,Sheet2!$W$7,IF(AND(Sheet1!O53&lt;Sheet2!$X$6,Sheet1!P53&lt;Sheet2!$Y$6,Sheet1!Q53&lt;Sheet2!$Z$6),IF(Sheet1!R53+Sheet2!$AB$5&gt;=Sheet2!$AA$5,Sheet2!$W$6,IF(AND(Sheet1!O53&lt;Sheet2!$X$5,Sheet1!P53&lt;Sheet2!$Y$5,Sheet1!Q53&lt;Sheet2!$Z$5),IF(Sheet1!R53+Sheet2!$AB$4&gt;=Sheet2!$AA$4,Sheet2!$W$5,IF(AND(Sheet1!O53&lt;Sheet2!$X$4,Sheet1!P53&lt;Sheet2!$Y$4,Sheet1!Q53&lt;Sheet2!$Z$4),Sheet2!$W$4,Sheet2!$W$5)),Sheet2!$W$6)),Sheet2!$W$7)),"超出《标准包裹》尺寸"))</f>
        <v>标准包裹</v>
      </c>
      <c r="T53" s="69">
        <f>H53*0.63-N53-M53</f>
        <v>0.605700000000008</v>
      </c>
      <c r="Y53" s="76"/>
    </row>
    <row r="54" ht="15" customHeight="1" spans="1:25">
      <c r="A54" s="46"/>
      <c r="B54" s="47"/>
      <c r="C54" s="45" t="s">
        <v>37</v>
      </c>
      <c r="D54" s="39">
        <f>IF(S54=Sheet2!$W$4,INDEX(Sheet2!$J$5:$Q$5,1,MATCH(Sheet1!C54,Sheet2!$J$3:$Q$3,0)),IF(S54=Sheet2!$W$5,INDEX(Sheet2!$J$6:$Q$8,MATCH(Sheet1!R54,Sheet2!$H$6:$H$8,1),MATCH(Sheet1!C54,Sheet2!$J$3:$Q$3,0)),IF(S54=Sheet2!$W$6,INDEX(Sheet2!$J$9:$Q$9,1,MATCH(Sheet1!C54,Sheet2!$J$3:$Q$3,0)),IF(S54=Sheet2!$W$7,INDEX(Sheet2!$J$10:$Q$24,MATCH(Sheet1!R54,Sheet2!$H$10:$H$24,1),MATCH(Sheet1!C54,Sheet2!$J$3:$Q$3,0)),"ERR COUNTRY!"))))</f>
        <v>5.66</v>
      </c>
      <c r="E54" s="52">
        <f t="shared" si="4"/>
        <v>7.2</v>
      </c>
      <c r="F54" s="53" t="s">
        <v>30</v>
      </c>
      <c r="G54" s="52">
        <f t="shared" si="13"/>
        <v>8</v>
      </c>
      <c r="H54" s="52">
        <f t="shared" si="5"/>
        <v>17.54</v>
      </c>
      <c r="I54" s="52" t="s">
        <v>30</v>
      </c>
      <c r="J54" s="52">
        <f>IF(OR(C54=Sheet2!$A$10),0,L54*0.2)</f>
        <v>9.6</v>
      </c>
      <c r="K54" s="52">
        <f t="shared" si="6"/>
        <v>27.14</v>
      </c>
      <c r="L54" s="58">
        <v>48</v>
      </c>
      <c r="M54" s="52">
        <f>R54*$B$1</f>
        <v>7.6</v>
      </c>
      <c r="N54" s="24">
        <v>8</v>
      </c>
      <c r="O54" s="24">
        <v>24</v>
      </c>
      <c r="P54" s="24">
        <v>22</v>
      </c>
      <c r="Q54" s="24">
        <v>5</v>
      </c>
      <c r="R54" s="24">
        <v>200</v>
      </c>
      <c r="S54" s="26" t="str">
        <f>IF(Sheet1!R54+Sheet2!$AB$7&gt;=Sheet2!$AA$7,"超出《标准包裹》重量",IF(AND(Sheet1!O54&lt;Sheet2!$X$7,Sheet1!P54&lt;Sheet2!$Y$7,Sheet1!Q54&lt;Sheet2!$Z$7),IF(Sheet1!R54+Sheet2!$AB$6&gt;=Sheet2!$AA$6,Sheet2!$W$7,IF(AND(Sheet1!O54&lt;Sheet2!$X$6,Sheet1!P54&lt;Sheet2!$Y$6,Sheet1!Q54&lt;Sheet2!$Z$6),IF(Sheet1!R54+Sheet2!$AB$5&gt;=Sheet2!$AA$5,Sheet2!$W$6,IF(AND(Sheet1!O54&lt;Sheet2!$X$5,Sheet1!P54&lt;Sheet2!$Y$5,Sheet1!Q54&lt;Sheet2!$Z$5),IF(Sheet1!R54+Sheet2!$AB$4&gt;=Sheet2!$AA$4,Sheet2!$W$5,IF(AND(Sheet1!O54&lt;Sheet2!$X$4,Sheet1!P54&lt;Sheet2!$Y$4,Sheet1!Q54&lt;Sheet2!$Z$4),Sheet2!$W$4,Sheet2!$W$5)),Sheet2!$W$6)),Sheet2!$W$7)),"超出《标准包裹》尺寸"))</f>
        <v>标准包裹</v>
      </c>
      <c r="T54" s="69">
        <f>H54*1.38-N54-M54</f>
        <v>8.6052</v>
      </c>
      <c r="Y54" s="76"/>
    </row>
    <row r="55" spans="1:25">
      <c r="A55" s="46"/>
      <c r="B55" s="47"/>
      <c r="C55" s="45"/>
      <c r="D55" s="39">
        <v>0</v>
      </c>
      <c r="E55" s="52">
        <f t="shared" si="4"/>
        <v>9</v>
      </c>
      <c r="F55" s="53" t="s">
        <v>39</v>
      </c>
      <c r="G55" s="52">
        <v>0</v>
      </c>
      <c r="H55" s="52">
        <f t="shared" si="5"/>
        <v>51</v>
      </c>
      <c r="I55" s="52" t="s">
        <v>30</v>
      </c>
      <c r="J55" s="52">
        <f>IF(OR(C55=Sheet2!$A$10),0,L55*0.2)</f>
        <v>0</v>
      </c>
      <c r="K55" s="52">
        <f t="shared" si="6"/>
        <v>51</v>
      </c>
      <c r="L55" s="59">
        <v>60</v>
      </c>
      <c r="M55" s="52">
        <f>R55*$B$1</f>
        <v>11.4</v>
      </c>
      <c r="N55" s="24">
        <v>8</v>
      </c>
      <c r="O55" s="64"/>
      <c r="P55" s="64"/>
      <c r="Q55" s="64"/>
      <c r="R55" s="24">
        <v>300</v>
      </c>
      <c r="S55" s="80"/>
      <c r="T55" s="69">
        <f>H55*0.44-N55-M55</f>
        <v>3.04</v>
      </c>
      <c r="Y55" s="76"/>
    </row>
    <row r="56" ht="15" customHeight="1" spans="1:25">
      <c r="A56" s="77"/>
      <c r="B56" s="44"/>
      <c r="C56" s="45" t="s">
        <v>29</v>
      </c>
      <c r="D56" s="39">
        <f>IF(S56=Sheet2!$W$4,INDEX(Sheet2!$J$5:$Q$5,1,MATCH(Sheet1!C56,Sheet2!$J$3:$Q$3,0)),IF(S56=Sheet2!$W$5,INDEX(Sheet2!$J$6:$Q$8,MATCH(Sheet1!R56,Sheet2!$H$6:$H$8,1),MATCH(Sheet1!C56,Sheet2!$J$3:$Q$3,0)),IF(S56=Sheet2!$W$6,INDEX(Sheet2!$J$9:$Q$9,1,MATCH(Sheet1!C56,Sheet2!$J$3:$Q$3,0)),IF(S56=Sheet2!$W$7,INDEX(Sheet2!$J$10:$Q$24,MATCH(Sheet1!R56,Sheet2!$H$10:$H$24,1),MATCH(Sheet1!C56,Sheet2!$J$3:$Q$3,0)),"ERR COUNTRY!"))))</f>
        <v>2.77</v>
      </c>
      <c r="E56" s="52">
        <f t="shared" si="4"/>
        <v>1.7985</v>
      </c>
      <c r="F56" s="53" t="s">
        <v>30</v>
      </c>
      <c r="G56" s="52">
        <f t="shared" ref="G56:G63" si="15">L56-L56/(1+20%)</f>
        <v>1.99833333333333</v>
      </c>
      <c r="H56" s="52">
        <f t="shared" si="5"/>
        <v>3.02516666666667</v>
      </c>
      <c r="I56" s="52" t="s">
        <v>30</v>
      </c>
      <c r="J56" s="52">
        <f>IF(OR(C56=Sheet2!$A$10),0,L56*0.2)</f>
        <v>2.398</v>
      </c>
      <c r="K56" s="52">
        <f t="shared" si="6"/>
        <v>5.42316666666667</v>
      </c>
      <c r="L56" s="58">
        <v>11.99</v>
      </c>
      <c r="M56" s="52">
        <f>R56*$B$1</f>
        <v>7.6</v>
      </c>
      <c r="N56" s="24">
        <v>8</v>
      </c>
      <c r="O56" s="24">
        <v>24</v>
      </c>
      <c r="P56" s="24">
        <v>22</v>
      </c>
      <c r="Q56" s="24">
        <v>5</v>
      </c>
      <c r="R56" s="24">
        <v>200</v>
      </c>
      <c r="S56" s="26" t="str">
        <f>IF(Sheet1!R56+Sheet2!$AB$7&gt;=Sheet2!$AA$7,"超出《标准包裹》重量",IF(AND(Sheet1!O56&lt;Sheet2!$X$7,Sheet1!P56&lt;Sheet2!$Y$7,Sheet1!Q56&lt;Sheet2!$Z$7),IF(Sheet1!R56+Sheet2!$AB$6&gt;=Sheet2!$AA$6,Sheet2!$W$7,IF(AND(Sheet1!O56&lt;Sheet2!$X$6,Sheet1!P56&lt;Sheet2!$Y$6,Sheet1!Q56&lt;Sheet2!$Z$6),IF(Sheet1!R56+Sheet2!$AB$5&gt;=Sheet2!$AA$5,Sheet2!$W$6,IF(AND(Sheet1!O56&lt;Sheet2!$X$5,Sheet1!P56&lt;Sheet2!$Y$5,Sheet1!Q56&lt;Sheet2!$Z$5),IF(Sheet1!R56+Sheet2!$AB$4&gt;=Sheet2!$AA$4,Sheet2!$W$5,IF(AND(Sheet1!O56&lt;Sheet2!$X$4,Sheet1!P56&lt;Sheet2!$Y$4,Sheet1!Q56&lt;Sheet2!$Z$4),Sheet2!$W$4,Sheet2!$W$5)),Sheet2!$W$6)),Sheet2!$W$7)),"超出《标准包裹》尺寸"))</f>
        <v>标准包裹</v>
      </c>
      <c r="T56" s="69">
        <f>H56*8.3-N56-M56</f>
        <v>9.50888333333334</v>
      </c>
      <c r="W56" s="74"/>
      <c r="X56" s="74"/>
      <c r="Y56" s="76"/>
    </row>
    <row r="57" ht="15" customHeight="1" spans="1:25">
      <c r="A57" s="46"/>
      <c r="B57" s="47"/>
      <c r="C57" s="45" t="s">
        <v>31</v>
      </c>
      <c r="D57" s="39">
        <f>IF(S57=Sheet2!$W$4,INDEX(Sheet2!$J$5:$Q$5,1,MATCH(Sheet1!C57,Sheet2!$J$3:$Q$3,0)),IF(S57=Sheet2!$W$5,INDEX(Sheet2!$J$6:$Q$8,MATCH(Sheet1!R57,Sheet2!$H$6:$H$8,1),MATCH(Sheet1!C57,Sheet2!$J$3:$Q$3,0)),IF(S57=Sheet2!$W$6,INDEX(Sheet2!$J$9:$Q$9,1,MATCH(Sheet1!C57,Sheet2!$J$3:$Q$3,0)),IF(S57=Sheet2!$W$7,INDEX(Sheet2!$J$10:$Q$24,MATCH(Sheet1!R57,Sheet2!$H$10:$H$24,1),MATCH(Sheet1!C57,Sheet2!$J$3:$Q$3,0)),"ERR COUNTRY!"))))</f>
        <v>3.73</v>
      </c>
      <c r="E57" s="52">
        <f t="shared" si="4"/>
        <v>2.0985</v>
      </c>
      <c r="F57" s="53" t="s">
        <v>30</v>
      </c>
      <c r="G57" s="52">
        <f t="shared" si="15"/>
        <v>2.33166666666667</v>
      </c>
      <c r="H57" s="52">
        <f t="shared" si="5"/>
        <v>3.03183333333333</v>
      </c>
      <c r="I57" s="52" t="s">
        <v>30</v>
      </c>
      <c r="J57" s="52">
        <f>IF(OR(C57=Sheet2!$A$10),0,L57*0.2)</f>
        <v>2.798</v>
      </c>
      <c r="K57" s="52">
        <f t="shared" si="6"/>
        <v>5.82983333333333</v>
      </c>
      <c r="L57" s="58">
        <v>13.99</v>
      </c>
      <c r="M57" s="52">
        <f>R57*$B$1</f>
        <v>7.6</v>
      </c>
      <c r="N57" s="24">
        <v>8</v>
      </c>
      <c r="O57" s="24">
        <v>24</v>
      </c>
      <c r="P57" s="24">
        <v>22</v>
      </c>
      <c r="Q57" s="24">
        <v>5</v>
      </c>
      <c r="R57" s="24">
        <v>200</v>
      </c>
      <c r="S57" s="26" t="str">
        <f>IF(Sheet1!R57+Sheet2!$AB$7&gt;=Sheet2!$AA$7,"超出《标准包裹》重量",IF(AND(Sheet1!O57&lt;Sheet2!$X$7,Sheet1!P57&lt;Sheet2!$Y$7,Sheet1!Q57&lt;Sheet2!$Z$7),IF(Sheet1!R57+Sheet2!$AB$6&gt;=Sheet2!$AA$6,Sheet2!$W$7,IF(AND(Sheet1!O57&lt;Sheet2!$X$6,Sheet1!P57&lt;Sheet2!$Y$6,Sheet1!Q57&lt;Sheet2!$Z$6),IF(Sheet1!R57+Sheet2!$AB$5&gt;=Sheet2!$AA$5,Sheet2!$W$6,IF(AND(Sheet1!O57&lt;Sheet2!$X$5,Sheet1!P57&lt;Sheet2!$Y$5,Sheet1!Q57&lt;Sheet2!$Z$5),IF(Sheet1!R57+Sheet2!$AB$4&gt;=Sheet2!$AA$4,Sheet2!$W$5,IF(AND(Sheet1!O57&lt;Sheet2!$X$4,Sheet1!P57&lt;Sheet2!$Y$4,Sheet1!Q57&lt;Sheet2!$Z$4),Sheet2!$W$4,Sheet2!$W$5)),Sheet2!$W$6)),Sheet2!$W$7)),"超出《标准包裹》尺寸"))</f>
        <v>标准包裹</v>
      </c>
      <c r="T57" s="69">
        <f t="shared" ref="T57:T61" si="16">H57*7.1-N57-M57</f>
        <v>5.92601666666666</v>
      </c>
      <c r="X57" s="74"/>
      <c r="Y57" s="76"/>
    </row>
    <row r="58" ht="15" customHeight="1" spans="1:25">
      <c r="A58" s="46"/>
      <c r="B58" s="47"/>
      <c r="C58" s="45" t="s">
        <v>32</v>
      </c>
      <c r="D58" s="39">
        <f>IF(S58=Sheet2!$W$4,INDEX(Sheet2!$J$5:$Q$5,1,MATCH(Sheet1!C58,Sheet2!$J$3:$Q$3,0)),IF(S58=Sheet2!$W$5,INDEX(Sheet2!$J$6:$Q$8,MATCH(Sheet1!R58,Sheet2!$H$6:$H$8,1),MATCH(Sheet1!C58,Sheet2!$J$3:$Q$3,0)),IF(S58=Sheet2!$W$6,INDEX(Sheet2!$J$9:$Q$9,1,MATCH(Sheet1!C58,Sheet2!$J$3:$Q$3,0)),IF(S58=Sheet2!$W$7,INDEX(Sheet2!$J$10:$Q$24,MATCH(Sheet1!R58,Sheet2!$H$10:$H$24,1),MATCH(Sheet1!C58,Sheet2!$J$3:$Q$3,0)),"ERR COUNTRY!"))))</f>
        <v>5.27</v>
      </c>
      <c r="E58" s="52">
        <f t="shared" si="4"/>
        <v>2.6985</v>
      </c>
      <c r="F58" s="53" t="s">
        <v>30</v>
      </c>
      <c r="G58" s="52">
        <f t="shared" si="15"/>
        <v>2.99833333333333</v>
      </c>
      <c r="H58" s="52">
        <f t="shared" si="5"/>
        <v>3.42516666666667</v>
      </c>
      <c r="I58" s="52" t="s">
        <v>30</v>
      </c>
      <c r="J58" s="52">
        <f>IF(OR(C58=Sheet2!$A$10),0,L58*0.2)</f>
        <v>3.598</v>
      </c>
      <c r="K58" s="52">
        <f t="shared" si="6"/>
        <v>7.02316666666667</v>
      </c>
      <c r="L58" s="58">
        <v>17.99</v>
      </c>
      <c r="M58" s="52">
        <f>R58*$B$1</f>
        <v>7.6</v>
      </c>
      <c r="N58" s="24">
        <v>8</v>
      </c>
      <c r="O58" s="24">
        <v>24</v>
      </c>
      <c r="P58" s="24">
        <v>22</v>
      </c>
      <c r="Q58" s="24">
        <v>5</v>
      </c>
      <c r="R58" s="24">
        <v>200</v>
      </c>
      <c r="S58" s="26" t="str">
        <f>IF(Sheet1!R58+Sheet2!$AB$7&gt;=Sheet2!$AA$7,"超出《标准包裹》重量",IF(AND(Sheet1!O58&lt;Sheet2!$X$7,Sheet1!P58&lt;Sheet2!$Y$7,Sheet1!Q58&lt;Sheet2!$Z$7),IF(Sheet1!R58+Sheet2!$AB$6&gt;=Sheet2!$AA$6,Sheet2!$W$7,IF(AND(Sheet1!O58&lt;Sheet2!$X$6,Sheet1!P58&lt;Sheet2!$Y$6,Sheet1!Q58&lt;Sheet2!$Z$6),IF(Sheet1!R58+Sheet2!$AB$5&gt;=Sheet2!$AA$5,Sheet2!$W$6,IF(AND(Sheet1!O58&lt;Sheet2!$X$5,Sheet1!P58&lt;Sheet2!$Y$5,Sheet1!Q58&lt;Sheet2!$Z$5),IF(Sheet1!R58+Sheet2!$AB$4&gt;=Sheet2!$AA$4,Sheet2!$W$5,IF(AND(Sheet1!O58&lt;Sheet2!$X$4,Sheet1!P58&lt;Sheet2!$Y$4,Sheet1!Q58&lt;Sheet2!$Z$4),Sheet2!$W$4,Sheet2!$W$5)),Sheet2!$W$6)),Sheet2!$W$7)),"超出《标准包裹》尺寸"))</f>
        <v>标准包裹</v>
      </c>
      <c r="T58" s="69">
        <f t="shared" si="16"/>
        <v>8.71868333333333</v>
      </c>
      <c r="Y58" s="76"/>
    </row>
    <row r="59" ht="15" customHeight="1" spans="1:25">
      <c r="A59" s="46"/>
      <c r="B59" s="47"/>
      <c r="C59" s="45" t="s">
        <v>33</v>
      </c>
      <c r="D59" s="39">
        <f>IF(S59=Sheet2!$W$4,INDEX(Sheet2!$J$5:$Q$5,1,MATCH(Sheet1!C59,Sheet2!$J$3:$Q$3,0)),IF(S59=Sheet2!$W$5,INDEX(Sheet2!$J$6:$Q$8,MATCH(Sheet1!R59,Sheet2!$H$6:$H$8,1),MATCH(Sheet1!C59,Sheet2!$J$3:$Q$3,0)),IF(S59=Sheet2!$W$6,INDEX(Sheet2!$J$9:$Q$9,1,MATCH(Sheet1!C59,Sheet2!$J$3:$Q$3,0)),IF(S59=Sheet2!$W$7,INDEX(Sheet2!$J$10:$Q$24,MATCH(Sheet1!R59,Sheet2!$H$10:$H$24,1),MATCH(Sheet1!C59,Sheet2!$J$3:$Q$3,0)),"ERR COUNTRY!"))))</f>
        <v>4.82</v>
      </c>
      <c r="E59" s="52">
        <f t="shared" si="4"/>
        <v>2.3985</v>
      </c>
      <c r="F59" s="53" t="s">
        <v>30</v>
      </c>
      <c r="G59" s="52">
        <f t="shared" si="15"/>
        <v>2.665</v>
      </c>
      <c r="H59" s="52">
        <f t="shared" si="5"/>
        <v>2.9085</v>
      </c>
      <c r="I59" s="52" t="s">
        <v>30</v>
      </c>
      <c r="J59" s="52">
        <f>IF(OR(C59=Sheet2!$A$10),0,L59*0.2)</f>
        <v>3.198</v>
      </c>
      <c r="K59" s="52">
        <f t="shared" si="6"/>
        <v>6.1065</v>
      </c>
      <c r="L59" s="58">
        <v>15.99</v>
      </c>
      <c r="M59" s="52">
        <f>R59*$B$1</f>
        <v>7.6</v>
      </c>
      <c r="N59" s="24">
        <v>8</v>
      </c>
      <c r="O59" s="24">
        <v>24</v>
      </c>
      <c r="P59" s="24">
        <v>22</v>
      </c>
      <c r="Q59" s="24">
        <v>5</v>
      </c>
      <c r="R59" s="24">
        <v>200</v>
      </c>
      <c r="S59" s="26" t="str">
        <f>IF(Sheet1!R59+Sheet2!$AB$7&gt;=Sheet2!$AA$7,"超出《标准包裹》重量",IF(AND(Sheet1!O59&lt;Sheet2!$X$7,Sheet1!P59&lt;Sheet2!$Y$7,Sheet1!Q59&lt;Sheet2!$Z$7),IF(Sheet1!R59+Sheet2!$AB$6&gt;=Sheet2!$AA$6,Sheet2!$W$7,IF(AND(Sheet1!O59&lt;Sheet2!$X$6,Sheet1!P59&lt;Sheet2!$Y$6,Sheet1!Q59&lt;Sheet2!$Z$6),IF(Sheet1!R59+Sheet2!$AB$5&gt;=Sheet2!$AA$5,Sheet2!$W$6,IF(AND(Sheet1!O59&lt;Sheet2!$X$5,Sheet1!P59&lt;Sheet2!$Y$5,Sheet1!Q59&lt;Sheet2!$Z$5),IF(Sheet1!R59+Sheet2!$AB$4&gt;=Sheet2!$AA$4,Sheet2!$W$5,IF(AND(Sheet1!O59&lt;Sheet2!$X$4,Sheet1!P59&lt;Sheet2!$Y$4,Sheet1!Q59&lt;Sheet2!$Z$4),Sheet2!$W$4,Sheet2!$W$5)),Sheet2!$W$6)),Sheet2!$W$7)),"超出《标准包裹》尺寸"))</f>
        <v>标准包裹</v>
      </c>
      <c r="T59" s="69">
        <f t="shared" si="16"/>
        <v>5.05035</v>
      </c>
      <c r="W59" s="75"/>
      <c r="X59" s="75"/>
      <c r="Y59" s="76"/>
    </row>
    <row r="60" ht="15" customHeight="1" spans="1:25">
      <c r="A60" s="46"/>
      <c r="B60" s="47"/>
      <c r="C60" s="45" t="s">
        <v>34</v>
      </c>
      <c r="D60" s="39">
        <f>IF(S60=Sheet2!$W$4,INDEX(Sheet2!$J$5:$Q$5,1,MATCH(Sheet1!C60,Sheet2!$J$3:$Q$3,0)),IF(S60=Sheet2!$W$5,INDEX(Sheet2!$J$6:$Q$8,MATCH(Sheet1!R60,Sheet2!$H$6:$H$8,1),MATCH(Sheet1!C60,Sheet2!$J$3:$Q$3,0)),IF(S60=Sheet2!$W$6,INDEX(Sheet2!$J$9:$Q$9,1,MATCH(Sheet1!C60,Sheet2!$J$3:$Q$3,0)),IF(S60=Sheet2!$W$7,INDEX(Sheet2!$J$10:$Q$24,MATCH(Sheet1!R60,Sheet2!$H$10:$H$24,1),MATCH(Sheet1!C60,Sheet2!$J$3:$Q$3,0)),"ERR COUNTRY!"))))</f>
        <v>4.1</v>
      </c>
      <c r="E60" s="52">
        <f t="shared" si="4"/>
        <v>2.2485</v>
      </c>
      <c r="F60" s="53" t="s">
        <v>30</v>
      </c>
      <c r="G60" s="52">
        <f t="shared" si="15"/>
        <v>2.49833333333333</v>
      </c>
      <c r="H60" s="52">
        <f t="shared" si="5"/>
        <v>3.14516666666667</v>
      </c>
      <c r="I60" s="52" t="s">
        <v>30</v>
      </c>
      <c r="J60" s="52">
        <f>IF(OR(C60=Sheet2!$A$10),0,L60*0.2)</f>
        <v>2.998</v>
      </c>
      <c r="K60" s="52">
        <f t="shared" si="6"/>
        <v>6.14316666666667</v>
      </c>
      <c r="L60" s="58">
        <v>14.99</v>
      </c>
      <c r="M60" s="52">
        <f>R60*$B$1</f>
        <v>7.6</v>
      </c>
      <c r="N60" s="24">
        <v>8</v>
      </c>
      <c r="O60" s="24">
        <v>24</v>
      </c>
      <c r="P60" s="24">
        <v>22</v>
      </c>
      <c r="Q60" s="24">
        <v>5</v>
      </c>
      <c r="R60" s="24">
        <v>200</v>
      </c>
      <c r="S60" s="26" t="str">
        <f>IF(Sheet1!R60+Sheet2!$AB$7&gt;=Sheet2!$AA$7,"超出《标准包裹》重量",IF(AND(Sheet1!O60&lt;Sheet2!$X$7,Sheet1!P60&lt;Sheet2!$Y$7,Sheet1!Q60&lt;Sheet2!$Z$7),IF(Sheet1!R60+Sheet2!$AB$6&gt;=Sheet2!$AA$6,Sheet2!$W$7,IF(AND(Sheet1!O60&lt;Sheet2!$X$6,Sheet1!P60&lt;Sheet2!$Y$6,Sheet1!Q60&lt;Sheet2!$Z$6),IF(Sheet1!R60+Sheet2!$AB$5&gt;=Sheet2!$AA$5,Sheet2!$W$6,IF(AND(Sheet1!O60&lt;Sheet2!$X$5,Sheet1!P60&lt;Sheet2!$Y$5,Sheet1!Q60&lt;Sheet2!$Z$5),IF(Sheet1!R60+Sheet2!$AB$4&gt;=Sheet2!$AA$4,Sheet2!$W$5,IF(AND(Sheet1!O60&lt;Sheet2!$X$4,Sheet1!P60&lt;Sheet2!$Y$4,Sheet1!Q60&lt;Sheet2!$Z$4),Sheet2!$W$4,Sheet2!$W$5)),Sheet2!$W$6)),Sheet2!$W$7)),"超出《标准包裹》尺寸"))</f>
        <v>标准包裹</v>
      </c>
      <c r="T60" s="69">
        <f t="shared" si="16"/>
        <v>6.73068333333333</v>
      </c>
      <c r="Y60" s="76"/>
    </row>
    <row r="61" ht="15" customHeight="1" spans="1:25">
      <c r="A61" s="46"/>
      <c r="B61" s="47"/>
      <c r="C61" s="45" t="s">
        <v>35</v>
      </c>
      <c r="D61" s="39">
        <f>IF(S61=Sheet2!$W$4,INDEX(Sheet2!$J$5:$Q$5,1,MATCH(Sheet1!C61,Sheet2!$J$3:$Q$3,0)),IF(S61=Sheet2!$W$5,INDEX(Sheet2!$J$6:$Q$8,MATCH(Sheet1!R61,Sheet2!$H$6:$H$8,1),MATCH(Sheet1!C61,Sheet2!$J$3:$Q$3,0)),IF(S61=Sheet2!$W$6,INDEX(Sheet2!$J$9:$Q$9,1,MATCH(Sheet1!C61,Sheet2!$J$3:$Q$3,0)),IF(S61=Sheet2!$W$7,INDEX(Sheet2!$J$10:$Q$24,MATCH(Sheet1!R61,Sheet2!$H$10:$H$24,1),MATCH(Sheet1!C61,Sheet2!$J$3:$Q$3,0)),"ERR COUNTRY!"))))</f>
        <v>3.16</v>
      </c>
      <c r="E61" s="52">
        <f t="shared" si="4"/>
        <v>2.0985</v>
      </c>
      <c r="F61" s="53" t="s">
        <v>30</v>
      </c>
      <c r="G61" s="52">
        <f t="shared" si="15"/>
        <v>2.33166666666667</v>
      </c>
      <c r="H61" s="52">
        <f t="shared" si="5"/>
        <v>3.60183333333333</v>
      </c>
      <c r="I61" s="52" t="s">
        <v>30</v>
      </c>
      <c r="J61" s="52">
        <f>IF(OR(C61=Sheet2!$A$10),0,L61*0.2)</f>
        <v>2.798</v>
      </c>
      <c r="K61" s="52">
        <f t="shared" si="6"/>
        <v>6.39983333333333</v>
      </c>
      <c r="L61" s="58">
        <v>13.99</v>
      </c>
      <c r="M61" s="52">
        <f>R61*$B$1</f>
        <v>7.6</v>
      </c>
      <c r="N61" s="24">
        <v>8</v>
      </c>
      <c r="O61" s="24">
        <v>24</v>
      </c>
      <c r="P61" s="24">
        <v>22</v>
      </c>
      <c r="Q61" s="24">
        <v>5</v>
      </c>
      <c r="R61" s="24">
        <v>200</v>
      </c>
      <c r="S61" s="26" t="str">
        <f>IF(Sheet1!R61+Sheet2!$AB$7&gt;=Sheet2!$AA$7,"超出《标准包裹》重量",IF(AND(Sheet1!O61&lt;Sheet2!$X$7,Sheet1!P61&lt;Sheet2!$Y$7,Sheet1!Q61&lt;Sheet2!$Z$7),IF(Sheet1!R61+Sheet2!$AB$6&gt;=Sheet2!$AA$6,Sheet2!$W$7,IF(AND(Sheet1!O61&lt;Sheet2!$X$6,Sheet1!P61&lt;Sheet2!$Y$6,Sheet1!Q61&lt;Sheet2!$Z$6),IF(Sheet1!R61+Sheet2!$AB$5&gt;=Sheet2!$AA$5,Sheet2!$W$6,IF(AND(Sheet1!O61&lt;Sheet2!$X$5,Sheet1!P61&lt;Sheet2!$Y$5,Sheet1!Q61&lt;Sheet2!$Z$5),IF(Sheet1!R61+Sheet2!$AB$4&gt;=Sheet2!$AA$4,Sheet2!$W$5,IF(AND(Sheet1!O61&lt;Sheet2!$X$4,Sheet1!P61&lt;Sheet2!$Y$4,Sheet1!Q61&lt;Sheet2!$Z$4),Sheet2!$W$4,Sheet2!$W$5)),Sheet2!$W$6)),Sheet2!$W$7)),"超出《标准包裹》尺寸"))</f>
        <v>标准包裹</v>
      </c>
      <c r="T61" s="69">
        <f t="shared" si="16"/>
        <v>9.97301666666667</v>
      </c>
      <c r="Y61" s="76"/>
    </row>
    <row r="62" ht="15" customHeight="1" spans="1:25">
      <c r="A62" s="46"/>
      <c r="B62" s="47"/>
      <c r="C62" s="45" t="s">
        <v>36</v>
      </c>
      <c r="D62" s="39">
        <f>IF(S62=Sheet2!$W$4,INDEX(Sheet2!$J$5:$Q$5,1,MATCH(Sheet1!C62,Sheet2!$J$3:$Q$3,0)),IF(S62=Sheet2!$W$5,INDEX(Sheet2!$J$6:$Q$8,MATCH(Sheet1!R62,Sheet2!$H$6:$H$8,1),MATCH(Sheet1!C62,Sheet2!$J$3:$Q$3,0)),IF(S62=Sheet2!$W$6,INDEX(Sheet2!$J$9:$Q$9,1,MATCH(Sheet1!C62,Sheet2!$J$3:$Q$3,0)),IF(S62=Sheet2!$W$7,INDEX(Sheet2!$J$10:$Q$24,MATCH(Sheet1!R62,Sheet2!$H$10:$H$24,1),MATCH(Sheet1!C62,Sheet2!$J$3:$Q$3,0)),"ERR COUNTRY!"))))</f>
        <v>42.91</v>
      </c>
      <c r="E62" s="52">
        <f t="shared" si="4"/>
        <v>21.3</v>
      </c>
      <c r="F62" s="53" t="s">
        <v>30</v>
      </c>
      <c r="G62" s="52">
        <f t="shared" si="15"/>
        <v>23.6666666666667</v>
      </c>
      <c r="H62" s="52">
        <f t="shared" si="5"/>
        <v>25.7233333333333</v>
      </c>
      <c r="I62" s="52" t="s">
        <v>30</v>
      </c>
      <c r="J62" s="52">
        <f>IF(OR(C62=Sheet2!$A$10),0,L62*0.2)</f>
        <v>28.4</v>
      </c>
      <c r="K62" s="52">
        <f t="shared" si="6"/>
        <v>54.1233333333333</v>
      </c>
      <c r="L62" s="58">
        <v>142</v>
      </c>
      <c r="M62" s="52">
        <f>R62*$B$1</f>
        <v>7.6</v>
      </c>
      <c r="N62" s="24">
        <v>8</v>
      </c>
      <c r="O62" s="24">
        <v>24</v>
      </c>
      <c r="P62" s="24">
        <v>22</v>
      </c>
      <c r="Q62" s="24">
        <v>5</v>
      </c>
      <c r="R62" s="24">
        <v>200</v>
      </c>
      <c r="S62" s="26" t="str">
        <f>IF(Sheet1!R62+Sheet2!$AB$7&gt;=Sheet2!$AA$7,"超出《标准包裹》重量",IF(AND(Sheet1!O62&lt;Sheet2!$X$7,Sheet1!P62&lt;Sheet2!$Y$7,Sheet1!Q62&lt;Sheet2!$Z$7),IF(Sheet1!R62+Sheet2!$AB$6&gt;=Sheet2!$AA$6,Sheet2!$W$7,IF(AND(Sheet1!O62&lt;Sheet2!$X$6,Sheet1!P62&lt;Sheet2!$Y$6,Sheet1!Q62&lt;Sheet2!$Z$6),IF(Sheet1!R62+Sheet2!$AB$5&gt;=Sheet2!$AA$5,Sheet2!$W$6,IF(AND(Sheet1!O62&lt;Sheet2!$X$5,Sheet1!P62&lt;Sheet2!$Y$5,Sheet1!Q62&lt;Sheet2!$Z$5),IF(Sheet1!R62+Sheet2!$AB$4&gt;=Sheet2!$AA$4,Sheet2!$W$5,IF(AND(Sheet1!O62&lt;Sheet2!$X$4,Sheet1!P62&lt;Sheet2!$Y$4,Sheet1!Q62&lt;Sheet2!$Z$4),Sheet2!$W$4,Sheet2!$W$5)),Sheet2!$W$6)),Sheet2!$W$7)),"超出《标准包裹》尺寸"))</f>
        <v>标准包裹</v>
      </c>
      <c r="T62" s="69">
        <f>H62*0.63-N62-M62</f>
        <v>0.605700000000008</v>
      </c>
      <c r="Y62" s="76"/>
    </row>
    <row r="63" ht="15" customHeight="1" spans="1:25">
      <c r="A63" s="46"/>
      <c r="B63" s="47"/>
      <c r="C63" s="45" t="s">
        <v>37</v>
      </c>
      <c r="D63" s="39">
        <f>IF(S63=Sheet2!$W$4,INDEX(Sheet2!$J$5:$Q$5,1,MATCH(Sheet1!C63,Sheet2!$J$3:$Q$3,0)),IF(S63=Sheet2!$W$5,INDEX(Sheet2!$J$6:$Q$8,MATCH(Sheet1!R63,Sheet2!$H$6:$H$8,1),MATCH(Sheet1!C63,Sheet2!$J$3:$Q$3,0)),IF(S63=Sheet2!$W$6,INDEX(Sheet2!$J$9:$Q$9,1,MATCH(Sheet1!C63,Sheet2!$J$3:$Q$3,0)),IF(S63=Sheet2!$W$7,INDEX(Sheet2!$J$10:$Q$24,MATCH(Sheet1!R63,Sheet2!$H$10:$H$24,1),MATCH(Sheet1!C63,Sheet2!$J$3:$Q$3,0)),"ERR COUNTRY!"))))</f>
        <v>5.66</v>
      </c>
      <c r="E63" s="52">
        <f t="shared" si="4"/>
        <v>7.2</v>
      </c>
      <c r="F63" s="53" t="s">
        <v>30</v>
      </c>
      <c r="G63" s="52">
        <f t="shared" si="15"/>
        <v>8</v>
      </c>
      <c r="H63" s="52">
        <f t="shared" si="5"/>
        <v>17.54</v>
      </c>
      <c r="I63" s="52" t="s">
        <v>30</v>
      </c>
      <c r="J63" s="52">
        <f>IF(OR(C63=Sheet2!$A$10),0,L63*0.2)</f>
        <v>9.6</v>
      </c>
      <c r="K63" s="52">
        <f t="shared" si="6"/>
        <v>27.14</v>
      </c>
      <c r="L63" s="58">
        <v>48</v>
      </c>
      <c r="M63" s="52">
        <f>R63*$B$1</f>
        <v>7.6</v>
      </c>
      <c r="N63" s="24">
        <v>8</v>
      </c>
      <c r="O63" s="24">
        <v>24</v>
      </c>
      <c r="P63" s="24">
        <v>22</v>
      </c>
      <c r="Q63" s="24">
        <v>5</v>
      </c>
      <c r="R63" s="24">
        <v>200</v>
      </c>
      <c r="S63" s="26" t="str">
        <f>IF(Sheet1!R63+Sheet2!$AB$7&gt;=Sheet2!$AA$7,"超出《标准包裹》重量",IF(AND(Sheet1!O63&lt;Sheet2!$X$7,Sheet1!P63&lt;Sheet2!$Y$7,Sheet1!Q63&lt;Sheet2!$Z$7),IF(Sheet1!R63+Sheet2!$AB$6&gt;=Sheet2!$AA$6,Sheet2!$W$7,IF(AND(Sheet1!O63&lt;Sheet2!$X$6,Sheet1!P63&lt;Sheet2!$Y$6,Sheet1!Q63&lt;Sheet2!$Z$6),IF(Sheet1!R63+Sheet2!$AB$5&gt;=Sheet2!$AA$5,Sheet2!$W$6,IF(AND(Sheet1!O63&lt;Sheet2!$X$5,Sheet1!P63&lt;Sheet2!$Y$5,Sheet1!Q63&lt;Sheet2!$Z$5),IF(Sheet1!R63+Sheet2!$AB$4&gt;=Sheet2!$AA$4,Sheet2!$W$5,IF(AND(Sheet1!O63&lt;Sheet2!$X$4,Sheet1!P63&lt;Sheet2!$Y$4,Sheet1!Q63&lt;Sheet2!$Z$4),Sheet2!$W$4,Sheet2!$W$5)),Sheet2!$W$6)),Sheet2!$W$7)),"超出《标准包裹》尺寸"))</f>
        <v>标准包裹</v>
      </c>
      <c r="T63" s="69">
        <f>H63*1.38-N63-M63</f>
        <v>8.6052</v>
      </c>
      <c r="Y63" s="76"/>
    </row>
    <row r="64" spans="1:25">
      <c r="A64" s="46"/>
      <c r="B64" s="47"/>
      <c r="C64" s="45"/>
      <c r="D64" s="39">
        <v>0</v>
      </c>
      <c r="E64" s="52">
        <f t="shared" si="4"/>
        <v>9</v>
      </c>
      <c r="F64" s="53" t="s">
        <v>39</v>
      </c>
      <c r="G64" s="52">
        <v>0</v>
      </c>
      <c r="H64" s="52">
        <f t="shared" si="5"/>
        <v>51</v>
      </c>
      <c r="I64" s="52" t="s">
        <v>30</v>
      </c>
      <c r="J64" s="52">
        <f>IF(OR(C64=Sheet2!$A$10),0,L64*0.2)</f>
        <v>0</v>
      </c>
      <c r="K64" s="52">
        <f t="shared" si="6"/>
        <v>51</v>
      </c>
      <c r="L64" s="59">
        <v>60</v>
      </c>
      <c r="M64" s="52">
        <f>R64*$B$1</f>
        <v>7.6</v>
      </c>
      <c r="N64" s="24">
        <v>8</v>
      </c>
      <c r="O64" s="64"/>
      <c r="P64" s="64"/>
      <c r="Q64" s="64"/>
      <c r="R64" s="24">
        <v>200</v>
      </c>
      <c r="S64" s="70"/>
      <c r="T64" s="69">
        <f>H64*0.44-N64-M64</f>
        <v>6.84</v>
      </c>
      <c r="Y64" s="76"/>
    </row>
    <row r="65" ht="15" customHeight="1" spans="1:25">
      <c r="A65" s="77"/>
      <c r="B65" s="44"/>
      <c r="C65" s="45" t="s">
        <v>29</v>
      </c>
      <c r="D65" s="39">
        <f>IF(S65=Sheet2!$W$4,INDEX(Sheet2!$J$5:$Q$5,1,MATCH(Sheet1!C65,Sheet2!$J$3:$Q$3,0)),IF(S65=Sheet2!$W$5,INDEX(Sheet2!$J$6:$Q$8,MATCH(Sheet1!R65,Sheet2!$H$6:$H$8,1),MATCH(Sheet1!C65,Sheet2!$J$3:$Q$3,0)),IF(S65=Sheet2!$W$6,INDEX(Sheet2!$J$9:$Q$9,1,MATCH(Sheet1!C65,Sheet2!$J$3:$Q$3,0)),IF(S65=Sheet2!$W$7,INDEX(Sheet2!$J$10:$Q$24,MATCH(Sheet1!R65,Sheet2!$H$10:$H$24,1),MATCH(Sheet1!C65,Sheet2!$J$3:$Q$3,0)),"ERR COUNTRY!"))))</f>
        <v>2.77</v>
      </c>
      <c r="E65" s="52">
        <f t="shared" si="4"/>
        <v>1.7985</v>
      </c>
      <c r="F65" s="53" t="s">
        <v>30</v>
      </c>
      <c r="G65" s="52">
        <f t="shared" ref="G65:G72" si="17">L65-L65/(1+20%)</f>
        <v>1.99833333333333</v>
      </c>
      <c r="H65" s="52">
        <f t="shared" si="5"/>
        <v>3.02516666666667</v>
      </c>
      <c r="I65" s="52" t="s">
        <v>30</v>
      </c>
      <c r="J65" s="52">
        <f>IF(OR(C65=Sheet2!$A$10),0,L65*0.2)</f>
        <v>2.398</v>
      </c>
      <c r="K65" s="52">
        <f t="shared" si="6"/>
        <v>5.42316666666667</v>
      </c>
      <c r="L65" s="58">
        <v>11.99</v>
      </c>
      <c r="M65" s="52">
        <f>R65*$B$1</f>
        <v>7.6</v>
      </c>
      <c r="N65" s="24">
        <v>8</v>
      </c>
      <c r="O65" s="24">
        <v>24</v>
      </c>
      <c r="P65" s="24">
        <v>22</v>
      </c>
      <c r="Q65" s="24">
        <v>5</v>
      </c>
      <c r="R65" s="24">
        <v>200</v>
      </c>
      <c r="S65" s="26" t="str">
        <f>IF(Sheet1!R65+Sheet2!$AB$7&gt;=Sheet2!$AA$7,"超出《标准包裹》重量",IF(AND(Sheet1!O65&lt;Sheet2!$X$7,Sheet1!P65&lt;Sheet2!$Y$7,Sheet1!Q65&lt;Sheet2!$Z$7),IF(Sheet1!R65+Sheet2!$AB$6&gt;=Sheet2!$AA$6,Sheet2!$W$7,IF(AND(Sheet1!O65&lt;Sheet2!$X$6,Sheet1!P65&lt;Sheet2!$Y$6,Sheet1!Q65&lt;Sheet2!$Z$6),IF(Sheet1!R65+Sheet2!$AB$5&gt;=Sheet2!$AA$5,Sheet2!$W$6,IF(AND(Sheet1!O65&lt;Sheet2!$X$5,Sheet1!P65&lt;Sheet2!$Y$5,Sheet1!Q65&lt;Sheet2!$Z$5),IF(Sheet1!R65+Sheet2!$AB$4&gt;=Sheet2!$AA$4,Sheet2!$W$5,IF(AND(Sheet1!O65&lt;Sheet2!$X$4,Sheet1!P65&lt;Sheet2!$Y$4,Sheet1!Q65&lt;Sheet2!$Z$4),Sheet2!$W$4,Sheet2!$W$5)),Sheet2!$W$6)),Sheet2!$W$7)),"超出《标准包裹》尺寸"))</f>
        <v>标准包裹</v>
      </c>
      <c r="T65" s="69">
        <f>H65*8.3-N65-M65</f>
        <v>9.50888333333334</v>
      </c>
      <c r="W65" s="74"/>
      <c r="X65" s="74"/>
      <c r="Y65" s="76"/>
    </row>
    <row r="66" ht="15" customHeight="1" spans="1:25">
      <c r="A66" s="46"/>
      <c r="B66" s="47"/>
      <c r="C66" s="45" t="s">
        <v>31</v>
      </c>
      <c r="D66" s="39">
        <f>IF(S66=Sheet2!$W$4,INDEX(Sheet2!$J$5:$Q$5,1,MATCH(Sheet1!C66,Sheet2!$J$3:$Q$3,0)),IF(S66=Sheet2!$W$5,INDEX(Sheet2!$J$6:$Q$8,MATCH(Sheet1!R66,Sheet2!$H$6:$H$8,1),MATCH(Sheet1!C66,Sheet2!$J$3:$Q$3,0)),IF(S66=Sheet2!$W$6,INDEX(Sheet2!$J$9:$Q$9,1,MATCH(Sheet1!C66,Sheet2!$J$3:$Q$3,0)),IF(S66=Sheet2!$W$7,INDEX(Sheet2!$J$10:$Q$24,MATCH(Sheet1!R66,Sheet2!$H$10:$H$24,1),MATCH(Sheet1!C66,Sheet2!$J$3:$Q$3,0)),"ERR COUNTRY!"))))</f>
        <v>3.73</v>
      </c>
      <c r="E66" s="52">
        <f t="shared" si="4"/>
        <v>2.0985</v>
      </c>
      <c r="F66" s="53" t="s">
        <v>30</v>
      </c>
      <c r="G66" s="52">
        <f t="shared" si="17"/>
        <v>2.33166666666667</v>
      </c>
      <c r="H66" s="52">
        <f t="shared" si="5"/>
        <v>3.03183333333333</v>
      </c>
      <c r="I66" s="52" t="s">
        <v>30</v>
      </c>
      <c r="J66" s="52">
        <f>IF(OR(C66=Sheet2!$A$10),0,L66*0.2)</f>
        <v>2.798</v>
      </c>
      <c r="K66" s="52">
        <f t="shared" si="6"/>
        <v>5.82983333333333</v>
      </c>
      <c r="L66" s="58">
        <v>13.99</v>
      </c>
      <c r="M66" s="52">
        <f>R66*$B$1</f>
        <v>7.6</v>
      </c>
      <c r="N66" s="24">
        <v>8</v>
      </c>
      <c r="O66" s="24">
        <v>24</v>
      </c>
      <c r="P66" s="24">
        <v>22</v>
      </c>
      <c r="Q66" s="24">
        <v>5</v>
      </c>
      <c r="R66" s="24">
        <v>200</v>
      </c>
      <c r="S66" s="26" t="str">
        <f>IF(Sheet1!R66+Sheet2!$AB$7&gt;=Sheet2!$AA$7,"超出《标准包裹》重量",IF(AND(Sheet1!O66&lt;Sheet2!$X$7,Sheet1!P66&lt;Sheet2!$Y$7,Sheet1!Q66&lt;Sheet2!$Z$7),IF(Sheet1!R66+Sheet2!$AB$6&gt;=Sheet2!$AA$6,Sheet2!$W$7,IF(AND(Sheet1!O66&lt;Sheet2!$X$6,Sheet1!P66&lt;Sheet2!$Y$6,Sheet1!Q66&lt;Sheet2!$Z$6),IF(Sheet1!R66+Sheet2!$AB$5&gt;=Sheet2!$AA$5,Sheet2!$W$6,IF(AND(Sheet1!O66&lt;Sheet2!$X$5,Sheet1!P66&lt;Sheet2!$Y$5,Sheet1!Q66&lt;Sheet2!$Z$5),IF(Sheet1!R66+Sheet2!$AB$4&gt;=Sheet2!$AA$4,Sheet2!$W$5,IF(AND(Sheet1!O66&lt;Sheet2!$X$4,Sheet1!P66&lt;Sheet2!$Y$4,Sheet1!Q66&lt;Sheet2!$Z$4),Sheet2!$W$4,Sheet2!$W$5)),Sheet2!$W$6)),Sheet2!$W$7)),"超出《标准包裹》尺寸"))</f>
        <v>标准包裹</v>
      </c>
      <c r="T66" s="69">
        <f t="shared" ref="T66:T70" si="18">H66*7.1-N66-M66</f>
        <v>5.92601666666666</v>
      </c>
      <c r="X66" s="74"/>
      <c r="Y66" s="76"/>
    </row>
    <row r="67" ht="15" customHeight="1" spans="1:25">
      <c r="A67" s="46"/>
      <c r="B67" s="47"/>
      <c r="C67" s="45" t="s">
        <v>32</v>
      </c>
      <c r="D67" s="39">
        <f>IF(S67=Sheet2!$W$4,INDEX(Sheet2!$J$5:$Q$5,1,MATCH(Sheet1!C67,Sheet2!$J$3:$Q$3,0)),IF(S67=Sheet2!$W$5,INDEX(Sheet2!$J$6:$Q$8,MATCH(Sheet1!R67,Sheet2!$H$6:$H$8,1),MATCH(Sheet1!C67,Sheet2!$J$3:$Q$3,0)),IF(S67=Sheet2!$W$6,INDEX(Sheet2!$J$9:$Q$9,1,MATCH(Sheet1!C67,Sheet2!$J$3:$Q$3,0)),IF(S67=Sheet2!$W$7,INDEX(Sheet2!$J$10:$Q$24,MATCH(Sheet1!R67,Sheet2!$H$10:$H$24,1),MATCH(Sheet1!C67,Sheet2!$J$3:$Q$3,0)),"ERR COUNTRY!"))))</f>
        <v>5.27</v>
      </c>
      <c r="E67" s="52">
        <f t="shared" si="4"/>
        <v>2.6985</v>
      </c>
      <c r="F67" s="53" t="s">
        <v>30</v>
      </c>
      <c r="G67" s="52">
        <f t="shared" si="17"/>
        <v>2.99833333333333</v>
      </c>
      <c r="H67" s="52">
        <f t="shared" si="5"/>
        <v>3.42516666666667</v>
      </c>
      <c r="I67" s="52" t="s">
        <v>30</v>
      </c>
      <c r="J67" s="52">
        <f>IF(OR(C67=Sheet2!$A$10),0,L67*0.2)</f>
        <v>3.598</v>
      </c>
      <c r="K67" s="52">
        <f t="shared" si="6"/>
        <v>7.02316666666667</v>
      </c>
      <c r="L67" s="58">
        <v>17.99</v>
      </c>
      <c r="M67" s="52">
        <f>R67*$B$1</f>
        <v>7.6</v>
      </c>
      <c r="N67" s="24">
        <v>8</v>
      </c>
      <c r="O67" s="24">
        <v>24</v>
      </c>
      <c r="P67" s="24">
        <v>22</v>
      </c>
      <c r="Q67" s="24">
        <v>5</v>
      </c>
      <c r="R67" s="24">
        <v>200</v>
      </c>
      <c r="S67" s="26" t="str">
        <f>IF(Sheet1!R67+Sheet2!$AB$7&gt;=Sheet2!$AA$7,"超出《标准包裹》重量",IF(AND(Sheet1!O67&lt;Sheet2!$X$7,Sheet1!P67&lt;Sheet2!$Y$7,Sheet1!Q67&lt;Sheet2!$Z$7),IF(Sheet1!R67+Sheet2!$AB$6&gt;=Sheet2!$AA$6,Sheet2!$W$7,IF(AND(Sheet1!O67&lt;Sheet2!$X$6,Sheet1!P67&lt;Sheet2!$Y$6,Sheet1!Q67&lt;Sheet2!$Z$6),IF(Sheet1!R67+Sheet2!$AB$5&gt;=Sheet2!$AA$5,Sheet2!$W$6,IF(AND(Sheet1!O67&lt;Sheet2!$X$5,Sheet1!P67&lt;Sheet2!$Y$5,Sheet1!Q67&lt;Sheet2!$Z$5),IF(Sheet1!R67+Sheet2!$AB$4&gt;=Sheet2!$AA$4,Sheet2!$W$5,IF(AND(Sheet1!O67&lt;Sheet2!$X$4,Sheet1!P67&lt;Sheet2!$Y$4,Sheet1!Q67&lt;Sheet2!$Z$4),Sheet2!$W$4,Sheet2!$W$5)),Sheet2!$W$6)),Sheet2!$W$7)),"超出《标准包裹》尺寸"))</f>
        <v>标准包裹</v>
      </c>
      <c r="T67" s="69">
        <f t="shared" si="18"/>
        <v>8.71868333333333</v>
      </c>
      <c r="Y67" s="76"/>
    </row>
    <row r="68" ht="15" customHeight="1" spans="1:25">
      <c r="A68" s="46"/>
      <c r="B68" s="47"/>
      <c r="C68" s="45" t="s">
        <v>33</v>
      </c>
      <c r="D68" s="39">
        <f>IF(S68=Sheet2!$W$4,INDEX(Sheet2!$J$5:$Q$5,1,MATCH(Sheet1!C68,Sheet2!$J$3:$Q$3,0)),IF(S68=Sheet2!$W$5,INDEX(Sheet2!$J$6:$Q$8,MATCH(Sheet1!R68,Sheet2!$H$6:$H$8,1),MATCH(Sheet1!C68,Sheet2!$J$3:$Q$3,0)),IF(S68=Sheet2!$W$6,INDEX(Sheet2!$J$9:$Q$9,1,MATCH(Sheet1!C68,Sheet2!$J$3:$Q$3,0)),IF(S68=Sheet2!$W$7,INDEX(Sheet2!$J$10:$Q$24,MATCH(Sheet1!R68,Sheet2!$H$10:$H$24,1),MATCH(Sheet1!C68,Sheet2!$J$3:$Q$3,0)),"ERR COUNTRY!"))))</f>
        <v>4.82</v>
      </c>
      <c r="E68" s="52">
        <f t="shared" si="4"/>
        <v>2.3985</v>
      </c>
      <c r="F68" s="53" t="s">
        <v>30</v>
      </c>
      <c r="G68" s="52">
        <f t="shared" si="17"/>
        <v>2.665</v>
      </c>
      <c r="H68" s="52">
        <f t="shared" si="5"/>
        <v>2.9085</v>
      </c>
      <c r="I68" s="52" t="s">
        <v>30</v>
      </c>
      <c r="J68" s="52">
        <f>IF(OR(C68=Sheet2!$A$10),0,L68*0.2)</f>
        <v>3.198</v>
      </c>
      <c r="K68" s="52">
        <f t="shared" si="6"/>
        <v>6.1065</v>
      </c>
      <c r="L68" s="58">
        <v>15.99</v>
      </c>
      <c r="M68" s="52">
        <f>R68*$B$1</f>
        <v>7.6</v>
      </c>
      <c r="N68" s="24">
        <v>8</v>
      </c>
      <c r="O68" s="24">
        <v>24</v>
      </c>
      <c r="P68" s="24">
        <v>22</v>
      </c>
      <c r="Q68" s="24">
        <v>5</v>
      </c>
      <c r="R68" s="24">
        <v>200</v>
      </c>
      <c r="S68" s="26" t="str">
        <f>IF(Sheet1!R68+Sheet2!$AB$7&gt;=Sheet2!$AA$7,"超出《标准包裹》重量",IF(AND(Sheet1!O68&lt;Sheet2!$X$7,Sheet1!P68&lt;Sheet2!$Y$7,Sheet1!Q68&lt;Sheet2!$Z$7),IF(Sheet1!R68+Sheet2!$AB$6&gt;=Sheet2!$AA$6,Sheet2!$W$7,IF(AND(Sheet1!O68&lt;Sheet2!$X$6,Sheet1!P68&lt;Sheet2!$Y$6,Sheet1!Q68&lt;Sheet2!$Z$6),IF(Sheet1!R68+Sheet2!$AB$5&gt;=Sheet2!$AA$5,Sheet2!$W$6,IF(AND(Sheet1!O68&lt;Sheet2!$X$5,Sheet1!P68&lt;Sheet2!$Y$5,Sheet1!Q68&lt;Sheet2!$Z$5),IF(Sheet1!R68+Sheet2!$AB$4&gt;=Sheet2!$AA$4,Sheet2!$W$5,IF(AND(Sheet1!O68&lt;Sheet2!$X$4,Sheet1!P68&lt;Sheet2!$Y$4,Sheet1!Q68&lt;Sheet2!$Z$4),Sheet2!$W$4,Sheet2!$W$5)),Sheet2!$W$6)),Sheet2!$W$7)),"超出《标准包裹》尺寸"))</f>
        <v>标准包裹</v>
      </c>
      <c r="T68" s="69">
        <f t="shared" si="18"/>
        <v>5.05035</v>
      </c>
      <c r="W68" s="75"/>
      <c r="X68" s="75"/>
      <c r="Y68" s="76"/>
    </row>
    <row r="69" ht="15" customHeight="1" spans="1:25">
      <c r="A69" s="46"/>
      <c r="B69" s="47"/>
      <c r="C69" s="45" t="s">
        <v>34</v>
      </c>
      <c r="D69" s="39">
        <f>IF(S69=Sheet2!$W$4,INDEX(Sheet2!$J$5:$Q$5,1,MATCH(Sheet1!C69,Sheet2!$J$3:$Q$3,0)),IF(S69=Sheet2!$W$5,INDEX(Sheet2!$J$6:$Q$8,MATCH(Sheet1!R69,Sheet2!$H$6:$H$8,1),MATCH(Sheet1!C69,Sheet2!$J$3:$Q$3,0)),IF(S69=Sheet2!$W$6,INDEX(Sheet2!$J$9:$Q$9,1,MATCH(Sheet1!C69,Sheet2!$J$3:$Q$3,0)),IF(S69=Sheet2!$W$7,INDEX(Sheet2!$J$10:$Q$24,MATCH(Sheet1!R69,Sheet2!$H$10:$H$24,1),MATCH(Sheet1!C69,Sheet2!$J$3:$Q$3,0)),"ERR COUNTRY!"))))</f>
        <v>4.1</v>
      </c>
      <c r="E69" s="52">
        <f t="shared" si="4"/>
        <v>2.2485</v>
      </c>
      <c r="F69" s="53" t="s">
        <v>30</v>
      </c>
      <c r="G69" s="52">
        <f t="shared" si="17"/>
        <v>2.49833333333333</v>
      </c>
      <c r="H69" s="52">
        <f t="shared" si="5"/>
        <v>3.14516666666667</v>
      </c>
      <c r="I69" s="52" t="s">
        <v>30</v>
      </c>
      <c r="J69" s="52">
        <f>IF(OR(C69=Sheet2!$A$10),0,L69*0.2)</f>
        <v>2.998</v>
      </c>
      <c r="K69" s="52">
        <f t="shared" si="6"/>
        <v>6.14316666666667</v>
      </c>
      <c r="L69" s="58">
        <v>14.99</v>
      </c>
      <c r="M69" s="52">
        <f>R69*$B$1</f>
        <v>7.6</v>
      </c>
      <c r="N69" s="24">
        <v>8</v>
      </c>
      <c r="O69" s="24">
        <v>24</v>
      </c>
      <c r="P69" s="24">
        <v>22</v>
      </c>
      <c r="Q69" s="24">
        <v>5</v>
      </c>
      <c r="R69" s="24">
        <v>200</v>
      </c>
      <c r="S69" s="26" t="str">
        <f>IF(Sheet1!R69+Sheet2!$AB$7&gt;=Sheet2!$AA$7,"超出《标准包裹》重量",IF(AND(Sheet1!O69&lt;Sheet2!$X$7,Sheet1!P69&lt;Sheet2!$Y$7,Sheet1!Q69&lt;Sheet2!$Z$7),IF(Sheet1!R69+Sheet2!$AB$6&gt;=Sheet2!$AA$6,Sheet2!$W$7,IF(AND(Sheet1!O69&lt;Sheet2!$X$6,Sheet1!P69&lt;Sheet2!$Y$6,Sheet1!Q69&lt;Sheet2!$Z$6),IF(Sheet1!R69+Sheet2!$AB$5&gt;=Sheet2!$AA$5,Sheet2!$W$6,IF(AND(Sheet1!O69&lt;Sheet2!$X$5,Sheet1!P69&lt;Sheet2!$Y$5,Sheet1!Q69&lt;Sheet2!$Z$5),IF(Sheet1!R69+Sheet2!$AB$4&gt;=Sheet2!$AA$4,Sheet2!$W$5,IF(AND(Sheet1!O69&lt;Sheet2!$X$4,Sheet1!P69&lt;Sheet2!$Y$4,Sheet1!Q69&lt;Sheet2!$Z$4),Sheet2!$W$4,Sheet2!$W$5)),Sheet2!$W$6)),Sheet2!$W$7)),"超出《标准包裹》尺寸"))</f>
        <v>标准包裹</v>
      </c>
      <c r="T69" s="69">
        <f t="shared" si="18"/>
        <v>6.73068333333333</v>
      </c>
      <c r="Y69" s="76"/>
    </row>
    <row r="70" ht="15" customHeight="1" spans="1:25">
      <c r="A70" s="46"/>
      <c r="B70" s="47"/>
      <c r="C70" s="45" t="s">
        <v>35</v>
      </c>
      <c r="D70" s="39">
        <f>IF(S70=Sheet2!$W$4,INDEX(Sheet2!$J$5:$Q$5,1,MATCH(Sheet1!C70,Sheet2!$J$3:$Q$3,0)),IF(S70=Sheet2!$W$5,INDEX(Sheet2!$J$6:$Q$8,MATCH(Sheet1!R70,Sheet2!$H$6:$H$8,1),MATCH(Sheet1!C70,Sheet2!$J$3:$Q$3,0)),IF(S70=Sheet2!$W$6,INDEX(Sheet2!$J$9:$Q$9,1,MATCH(Sheet1!C70,Sheet2!$J$3:$Q$3,0)),IF(S70=Sheet2!$W$7,INDEX(Sheet2!$J$10:$Q$24,MATCH(Sheet1!R70,Sheet2!$H$10:$H$24,1),MATCH(Sheet1!C70,Sheet2!$J$3:$Q$3,0)),"ERR COUNTRY!"))))</f>
        <v>3.16</v>
      </c>
      <c r="E70" s="52">
        <f t="shared" si="4"/>
        <v>2.0985</v>
      </c>
      <c r="F70" s="53" t="s">
        <v>30</v>
      </c>
      <c r="G70" s="52">
        <f t="shared" si="17"/>
        <v>2.33166666666667</v>
      </c>
      <c r="H70" s="52">
        <f t="shared" si="5"/>
        <v>3.60183333333333</v>
      </c>
      <c r="I70" s="52" t="s">
        <v>30</v>
      </c>
      <c r="J70" s="52">
        <f>IF(OR(C70=Sheet2!$A$10),0,L70*0.2)</f>
        <v>2.798</v>
      </c>
      <c r="K70" s="52">
        <f t="shared" si="6"/>
        <v>6.39983333333333</v>
      </c>
      <c r="L70" s="58">
        <v>13.99</v>
      </c>
      <c r="M70" s="52">
        <f>R70*$B$1</f>
        <v>7.6</v>
      </c>
      <c r="N70" s="24">
        <v>8</v>
      </c>
      <c r="O70" s="24">
        <v>24</v>
      </c>
      <c r="P70" s="24">
        <v>22</v>
      </c>
      <c r="Q70" s="24">
        <v>5</v>
      </c>
      <c r="R70" s="24">
        <v>200</v>
      </c>
      <c r="S70" s="26" t="str">
        <f>IF(Sheet1!R70+Sheet2!$AB$7&gt;=Sheet2!$AA$7,"超出《标准包裹》重量",IF(AND(Sheet1!O70&lt;Sheet2!$X$7,Sheet1!P70&lt;Sheet2!$Y$7,Sheet1!Q70&lt;Sheet2!$Z$7),IF(Sheet1!R70+Sheet2!$AB$6&gt;=Sheet2!$AA$6,Sheet2!$W$7,IF(AND(Sheet1!O70&lt;Sheet2!$X$6,Sheet1!P70&lt;Sheet2!$Y$6,Sheet1!Q70&lt;Sheet2!$Z$6),IF(Sheet1!R70+Sheet2!$AB$5&gt;=Sheet2!$AA$5,Sheet2!$W$6,IF(AND(Sheet1!O70&lt;Sheet2!$X$5,Sheet1!P70&lt;Sheet2!$Y$5,Sheet1!Q70&lt;Sheet2!$Z$5),IF(Sheet1!R70+Sheet2!$AB$4&gt;=Sheet2!$AA$4,Sheet2!$W$5,IF(AND(Sheet1!O70&lt;Sheet2!$X$4,Sheet1!P70&lt;Sheet2!$Y$4,Sheet1!Q70&lt;Sheet2!$Z$4),Sheet2!$W$4,Sheet2!$W$5)),Sheet2!$W$6)),Sheet2!$W$7)),"超出《标准包裹》尺寸"))</f>
        <v>标准包裹</v>
      </c>
      <c r="T70" s="69">
        <f t="shared" si="18"/>
        <v>9.97301666666667</v>
      </c>
      <c r="Y70" s="76"/>
    </row>
    <row r="71" ht="15" customHeight="1" spans="1:25">
      <c r="A71" s="46"/>
      <c r="B71" s="47"/>
      <c r="C71" s="45" t="s">
        <v>36</v>
      </c>
      <c r="D71" s="39">
        <f>IF(S71=Sheet2!$W$4,INDEX(Sheet2!$J$5:$Q$5,1,MATCH(Sheet1!C71,Sheet2!$J$3:$Q$3,0)),IF(S71=Sheet2!$W$5,INDEX(Sheet2!$J$6:$Q$8,MATCH(Sheet1!R71,Sheet2!$H$6:$H$8,1),MATCH(Sheet1!C71,Sheet2!$J$3:$Q$3,0)),IF(S71=Sheet2!$W$6,INDEX(Sheet2!$J$9:$Q$9,1,MATCH(Sheet1!C71,Sheet2!$J$3:$Q$3,0)),IF(S71=Sheet2!$W$7,INDEX(Sheet2!$J$10:$Q$24,MATCH(Sheet1!R71,Sheet2!$H$10:$H$24,1),MATCH(Sheet1!C71,Sheet2!$J$3:$Q$3,0)),"ERR COUNTRY!"))))</f>
        <v>42.91</v>
      </c>
      <c r="E71" s="52">
        <f t="shared" si="4"/>
        <v>21.3</v>
      </c>
      <c r="F71" s="53" t="s">
        <v>30</v>
      </c>
      <c r="G71" s="52">
        <f t="shared" si="17"/>
        <v>23.6666666666667</v>
      </c>
      <c r="H71" s="52">
        <f t="shared" si="5"/>
        <v>25.7233333333333</v>
      </c>
      <c r="I71" s="52" t="s">
        <v>30</v>
      </c>
      <c r="J71" s="52">
        <f>IF(OR(C71=Sheet2!$A$10),0,L71*0.2)</f>
        <v>28.4</v>
      </c>
      <c r="K71" s="52">
        <f t="shared" si="6"/>
        <v>54.1233333333333</v>
      </c>
      <c r="L71" s="58">
        <v>142</v>
      </c>
      <c r="M71" s="52">
        <f>R71*$B$1</f>
        <v>7.6</v>
      </c>
      <c r="N71" s="24">
        <v>8</v>
      </c>
      <c r="O71" s="24">
        <v>24</v>
      </c>
      <c r="P71" s="24">
        <v>22</v>
      </c>
      <c r="Q71" s="24">
        <v>5</v>
      </c>
      <c r="R71" s="24">
        <v>200</v>
      </c>
      <c r="S71" s="26" t="str">
        <f>IF(Sheet1!R71+Sheet2!$AB$7&gt;=Sheet2!$AA$7,"超出《标准包裹》重量",IF(AND(Sheet1!O71&lt;Sheet2!$X$7,Sheet1!P71&lt;Sheet2!$Y$7,Sheet1!Q71&lt;Sheet2!$Z$7),IF(Sheet1!R71+Sheet2!$AB$6&gt;=Sheet2!$AA$6,Sheet2!$W$7,IF(AND(Sheet1!O71&lt;Sheet2!$X$6,Sheet1!P71&lt;Sheet2!$Y$6,Sheet1!Q71&lt;Sheet2!$Z$6),IF(Sheet1!R71+Sheet2!$AB$5&gt;=Sheet2!$AA$5,Sheet2!$W$6,IF(AND(Sheet1!O71&lt;Sheet2!$X$5,Sheet1!P71&lt;Sheet2!$Y$5,Sheet1!Q71&lt;Sheet2!$Z$5),IF(Sheet1!R71+Sheet2!$AB$4&gt;=Sheet2!$AA$4,Sheet2!$W$5,IF(AND(Sheet1!O71&lt;Sheet2!$X$4,Sheet1!P71&lt;Sheet2!$Y$4,Sheet1!Q71&lt;Sheet2!$Z$4),Sheet2!$W$4,Sheet2!$W$5)),Sheet2!$W$6)),Sheet2!$W$7)),"超出《标准包裹》尺寸"))</f>
        <v>标准包裹</v>
      </c>
      <c r="T71" s="69">
        <f>H71*0.63-N71-M71</f>
        <v>0.605700000000008</v>
      </c>
      <c r="Y71" s="76"/>
    </row>
    <row r="72" ht="15" customHeight="1" spans="1:25">
      <c r="A72" s="46"/>
      <c r="B72" s="47"/>
      <c r="C72" s="45" t="s">
        <v>37</v>
      </c>
      <c r="D72" s="39">
        <f>IF(S72=Sheet2!$W$4,INDEX(Sheet2!$J$5:$Q$5,1,MATCH(Sheet1!C72,Sheet2!$J$3:$Q$3,0)),IF(S72=Sheet2!$W$5,INDEX(Sheet2!$J$6:$Q$8,MATCH(Sheet1!R72,Sheet2!$H$6:$H$8,1),MATCH(Sheet1!C72,Sheet2!$J$3:$Q$3,0)),IF(S72=Sheet2!$W$6,INDEX(Sheet2!$J$9:$Q$9,1,MATCH(Sheet1!C72,Sheet2!$J$3:$Q$3,0)),IF(S72=Sheet2!$W$7,INDEX(Sheet2!$J$10:$Q$24,MATCH(Sheet1!R72,Sheet2!$H$10:$H$24,1),MATCH(Sheet1!C72,Sheet2!$J$3:$Q$3,0)),"ERR COUNTRY!"))))</f>
        <v>5.66</v>
      </c>
      <c r="E72" s="52">
        <f t="shared" si="4"/>
        <v>7.2</v>
      </c>
      <c r="F72" s="53" t="s">
        <v>30</v>
      </c>
      <c r="G72" s="52">
        <f t="shared" si="17"/>
        <v>8</v>
      </c>
      <c r="H72" s="52">
        <f t="shared" si="5"/>
        <v>17.54</v>
      </c>
      <c r="I72" s="52" t="s">
        <v>30</v>
      </c>
      <c r="J72" s="52">
        <f>IF(OR(C72=Sheet2!$A$10),0,L72*0.2)</f>
        <v>9.6</v>
      </c>
      <c r="K72" s="52">
        <f t="shared" si="6"/>
        <v>27.14</v>
      </c>
      <c r="L72" s="58">
        <v>48</v>
      </c>
      <c r="M72" s="52">
        <f>R72*$B$1</f>
        <v>7.6</v>
      </c>
      <c r="N72" s="24">
        <v>8</v>
      </c>
      <c r="O72" s="24">
        <v>24</v>
      </c>
      <c r="P72" s="24">
        <v>22</v>
      </c>
      <c r="Q72" s="24">
        <v>5</v>
      </c>
      <c r="R72" s="24">
        <v>200</v>
      </c>
      <c r="S72" s="26" t="str">
        <f>IF(Sheet1!R72+Sheet2!$AB$7&gt;=Sheet2!$AA$7,"超出《标准包裹》重量",IF(AND(Sheet1!O72&lt;Sheet2!$X$7,Sheet1!P72&lt;Sheet2!$Y$7,Sheet1!Q72&lt;Sheet2!$Z$7),IF(Sheet1!R72+Sheet2!$AB$6&gt;=Sheet2!$AA$6,Sheet2!$W$7,IF(AND(Sheet1!O72&lt;Sheet2!$X$6,Sheet1!P72&lt;Sheet2!$Y$6,Sheet1!Q72&lt;Sheet2!$Z$6),IF(Sheet1!R72+Sheet2!$AB$5&gt;=Sheet2!$AA$5,Sheet2!$W$6,IF(AND(Sheet1!O72&lt;Sheet2!$X$5,Sheet1!P72&lt;Sheet2!$Y$5,Sheet1!Q72&lt;Sheet2!$Z$5),IF(Sheet1!R72+Sheet2!$AB$4&gt;=Sheet2!$AA$4,Sheet2!$W$5,IF(AND(Sheet1!O72&lt;Sheet2!$X$4,Sheet1!P72&lt;Sheet2!$Y$4,Sheet1!Q72&lt;Sheet2!$Z$4),Sheet2!$W$4,Sheet2!$W$5)),Sheet2!$W$6)),Sheet2!$W$7)),"超出《标准包裹》尺寸"))</f>
        <v>标准包裹</v>
      </c>
      <c r="T72" s="69">
        <f>H72*1.38-N72-M72</f>
        <v>8.6052</v>
      </c>
      <c r="Y72" s="76"/>
    </row>
    <row r="73" spans="1:25">
      <c r="A73" s="46"/>
      <c r="B73" s="47"/>
      <c r="C73" s="45"/>
      <c r="D73" s="39">
        <v>0</v>
      </c>
      <c r="E73" s="52">
        <f t="shared" si="4"/>
        <v>9</v>
      </c>
      <c r="F73" s="53" t="s">
        <v>39</v>
      </c>
      <c r="G73" s="52">
        <v>0</v>
      </c>
      <c r="H73" s="52">
        <f t="shared" si="5"/>
        <v>51</v>
      </c>
      <c r="I73" s="52" t="s">
        <v>30</v>
      </c>
      <c r="J73" s="52">
        <f>IF(OR(C73=Sheet2!$A$10),0,L73*0.2)</f>
        <v>0</v>
      </c>
      <c r="K73" s="52">
        <f t="shared" si="6"/>
        <v>51</v>
      </c>
      <c r="L73" s="59">
        <v>60</v>
      </c>
      <c r="M73" s="52">
        <f>R73*$B$1</f>
        <v>7.6</v>
      </c>
      <c r="N73" s="24">
        <v>8</v>
      </c>
      <c r="O73" s="64"/>
      <c r="P73" s="64"/>
      <c r="Q73" s="64"/>
      <c r="R73" s="24">
        <v>200</v>
      </c>
      <c r="S73" s="70"/>
      <c r="T73" s="69">
        <f>H73*0.44-N73-M73</f>
        <v>6.84</v>
      </c>
      <c r="Y73" s="76"/>
    </row>
    <row r="74" ht="15" customHeight="1" spans="1:25">
      <c r="A74" s="77"/>
      <c r="B74" s="44"/>
      <c r="C74" s="45" t="s">
        <v>29</v>
      </c>
      <c r="D74" s="39">
        <f>IF(S74=Sheet2!$W$4,INDEX(Sheet2!$J$5:$Q$5,1,MATCH(Sheet1!C74,Sheet2!$J$3:$Q$3,0)),IF(S74=Sheet2!$W$5,INDEX(Sheet2!$J$6:$Q$8,MATCH(Sheet1!R74,Sheet2!$H$6:$H$8,1),MATCH(Sheet1!C74,Sheet2!$J$3:$Q$3,0)),IF(S74=Sheet2!$W$6,INDEX(Sheet2!$J$9:$Q$9,1,MATCH(Sheet1!C74,Sheet2!$J$3:$Q$3,0)),IF(S74=Sheet2!$W$7,INDEX(Sheet2!$J$10:$Q$24,MATCH(Sheet1!R74,Sheet2!$H$10:$H$24,1),MATCH(Sheet1!C74,Sheet2!$J$3:$Q$3,0)),"ERR COUNTRY!"))))</f>
        <v>2.77</v>
      </c>
      <c r="E74" s="52">
        <f t="shared" si="4"/>
        <v>1.7985</v>
      </c>
      <c r="F74" s="53" t="s">
        <v>30</v>
      </c>
      <c r="G74" s="52">
        <f t="shared" ref="G74:G81" si="19">L74-L74/(1+20%)</f>
        <v>1.99833333333333</v>
      </c>
      <c r="H74" s="52">
        <f t="shared" si="5"/>
        <v>3.02516666666667</v>
      </c>
      <c r="I74" s="52" t="s">
        <v>30</v>
      </c>
      <c r="J74" s="52">
        <f>IF(OR(C74=Sheet2!$A$10),0,L74*0.2)</f>
        <v>2.398</v>
      </c>
      <c r="K74" s="52">
        <f t="shared" si="6"/>
        <v>5.42316666666667</v>
      </c>
      <c r="L74" s="58">
        <v>11.99</v>
      </c>
      <c r="M74" s="52">
        <f>R74*$B$1</f>
        <v>7.6</v>
      </c>
      <c r="N74" s="24">
        <v>8</v>
      </c>
      <c r="O74" s="24">
        <v>24</v>
      </c>
      <c r="P74" s="24">
        <v>22</v>
      </c>
      <c r="Q74" s="24">
        <v>5</v>
      </c>
      <c r="R74" s="24">
        <v>200</v>
      </c>
      <c r="S74" s="26" t="str">
        <f>IF(Sheet1!R74+Sheet2!$AB$7&gt;=Sheet2!$AA$7,"超出《标准包裹》重量",IF(AND(Sheet1!O74&lt;Sheet2!$X$7,Sheet1!P74&lt;Sheet2!$Y$7,Sheet1!Q74&lt;Sheet2!$Z$7),IF(Sheet1!R74+Sheet2!$AB$6&gt;=Sheet2!$AA$6,Sheet2!$W$7,IF(AND(Sheet1!O74&lt;Sheet2!$X$6,Sheet1!P74&lt;Sheet2!$Y$6,Sheet1!Q74&lt;Sheet2!$Z$6),IF(Sheet1!R74+Sheet2!$AB$5&gt;=Sheet2!$AA$5,Sheet2!$W$6,IF(AND(Sheet1!O74&lt;Sheet2!$X$5,Sheet1!P74&lt;Sheet2!$Y$5,Sheet1!Q74&lt;Sheet2!$Z$5),IF(Sheet1!R74+Sheet2!$AB$4&gt;=Sheet2!$AA$4,Sheet2!$W$5,IF(AND(Sheet1!O74&lt;Sheet2!$X$4,Sheet1!P74&lt;Sheet2!$Y$4,Sheet1!Q74&lt;Sheet2!$Z$4),Sheet2!$W$4,Sheet2!$W$5)),Sheet2!$W$6)),Sheet2!$W$7)),"超出《标准包裹》尺寸"))</f>
        <v>标准包裹</v>
      </c>
      <c r="T74" s="69">
        <f>H74*8.3-N74-M74</f>
        <v>9.50888333333334</v>
      </c>
      <c r="W74" s="74"/>
      <c r="X74" s="74"/>
      <c r="Y74" s="76"/>
    </row>
    <row r="75" ht="15" customHeight="1" spans="1:25">
      <c r="A75" s="46"/>
      <c r="B75" s="47"/>
      <c r="C75" s="45" t="s">
        <v>31</v>
      </c>
      <c r="D75" s="39">
        <f>IF(S75=Sheet2!$W$4,INDEX(Sheet2!$J$5:$Q$5,1,MATCH(Sheet1!C75,Sheet2!$J$3:$Q$3,0)),IF(S75=Sheet2!$W$5,INDEX(Sheet2!$J$6:$Q$8,MATCH(Sheet1!R75,Sheet2!$H$6:$H$8,1),MATCH(Sheet1!C75,Sheet2!$J$3:$Q$3,0)),IF(S75=Sheet2!$W$6,INDEX(Sheet2!$J$9:$Q$9,1,MATCH(Sheet1!C75,Sheet2!$J$3:$Q$3,0)),IF(S75=Sheet2!$W$7,INDEX(Sheet2!$J$10:$Q$24,MATCH(Sheet1!R75,Sheet2!$H$10:$H$24,1),MATCH(Sheet1!C75,Sheet2!$J$3:$Q$3,0)),"ERR COUNTRY!"))))</f>
        <v>3.73</v>
      </c>
      <c r="E75" s="52">
        <f t="shared" si="4"/>
        <v>2.0985</v>
      </c>
      <c r="F75" s="53" t="s">
        <v>30</v>
      </c>
      <c r="G75" s="52">
        <f t="shared" si="19"/>
        <v>2.33166666666667</v>
      </c>
      <c r="H75" s="52">
        <f t="shared" si="5"/>
        <v>3.03183333333333</v>
      </c>
      <c r="I75" s="52" t="s">
        <v>30</v>
      </c>
      <c r="J75" s="52">
        <f>IF(OR(C75=Sheet2!$A$10),0,L75*0.2)</f>
        <v>2.798</v>
      </c>
      <c r="K75" s="52">
        <f t="shared" si="6"/>
        <v>5.82983333333333</v>
      </c>
      <c r="L75" s="58">
        <v>13.99</v>
      </c>
      <c r="M75" s="52">
        <f>R75*$B$1</f>
        <v>7.6</v>
      </c>
      <c r="N75" s="24">
        <v>8</v>
      </c>
      <c r="O75" s="24">
        <v>24</v>
      </c>
      <c r="P75" s="24">
        <v>22</v>
      </c>
      <c r="Q75" s="24">
        <v>5</v>
      </c>
      <c r="R75" s="24">
        <v>200</v>
      </c>
      <c r="S75" s="26" t="str">
        <f>IF(Sheet1!R75+Sheet2!$AB$7&gt;=Sheet2!$AA$7,"超出《标准包裹》重量",IF(AND(Sheet1!O75&lt;Sheet2!$X$7,Sheet1!P75&lt;Sheet2!$Y$7,Sheet1!Q75&lt;Sheet2!$Z$7),IF(Sheet1!R75+Sheet2!$AB$6&gt;=Sheet2!$AA$6,Sheet2!$W$7,IF(AND(Sheet1!O75&lt;Sheet2!$X$6,Sheet1!P75&lt;Sheet2!$Y$6,Sheet1!Q75&lt;Sheet2!$Z$6),IF(Sheet1!R75+Sheet2!$AB$5&gt;=Sheet2!$AA$5,Sheet2!$W$6,IF(AND(Sheet1!O75&lt;Sheet2!$X$5,Sheet1!P75&lt;Sheet2!$Y$5,Sheet1!Q75&lt;Sheet2!$Z$5),IF(Sheet1!R75+Sheet2!$AB$4&gt;=Sheet2!$AA$4,Sheet2!$W$5,IF(AND(Sheet1!O75&lt;Sheet2!$X$4,Sheet1!P75&lt;Sheet2!$Y$4,Sheet1!Q75&lt;Sheet2!$Z$4),Sheet2!$W$4,Sheet2!$W$5)),Sheet2!$W$6)),Sheet2!$W$7)),"超出《标准包裹》尺寸"))</f>
        <v>标准包裹</v>
      </c>
      <c r="T75" s="69">
        <f t="shared" ref="T75:T79" si="20">H75*7.1-N75-M75</f>
        <v>5.92601666666666</v>
      </c>
      <c r="X75" s="74"/>
      <c r="Y75" s="76"/>
    </row>
    <row r="76" ht="15" customHeight="1" spans="1:25">
      <c r="A76" s="46"/>
      <c r="B76" s="47"/>
      <c r="C76" s="45" t="s">
        <v>32</v>
      </c>
      <c r="D76" s="39">
        <f>IF(S76=Sheet2!$W$4,INDEX(Sheet2!$J$5:$Q$5,1,MATCH(Sheet1!C76,Sheet2!$J$3:$Q$3,0)),IF(S76=Sheet2!$W$5,INDEX(Sheet2!$J$6:$Q$8,MATCH(Sheet1!R76,Sheet2!$H$6:$H$8,1),MATCH(Sheet1!C76,Sheet2!$J$3:$Q$3,0)),IF(S76=Sheet2!$W$6,INDEX(Sheet2!$J$9:$Q$9,1,MATCH(Sheet1!C76,Sheet2!$J$3:$Q$3,0)),IF(S76=Sheet2!$W$7,INDEX(Sheet2!$J$10:$Q$24,MATCH(Sheet1!R76,Sheet2!$H$10:$H$24,1),MATCH(Sheet1!C76,Sheet2!$J$3:$Q$3,0)),"ERR COUNTRY!"))))</f>
        <v>5.27</v>
      </c>
      <c r="E76" s="52">
        <f t="shared" si="4"/>
        <v>2.6985</v>
      </c>
      <c r="F76" s="53" t="s">
        <v>30</v>
      </c>
      <c r="G76" s="52">
        <f t="shared" si="19"/>
        <v>2.99833333333333</v>
      </c>
      <c r="H76" s="52">
        <f t="shared" si="5"/>
        <v>3.42516666666667</v>
      </c>
      <c r="I76" s="52" t="s">
        <v>30</v>
      </c>
      <c r="J76" s="52">
        <f>IF(OR(C76=Sheet2!$A$10),0,L76*0.2)</f>
        <v>3.598</v>
      </c>
      <c r="K76" s="52">
        <f t="shared" si="6"/>
        <v>7.02316666666667</v>
      </c>
      <c r="L76" s="58">
        <v>17.99</v>
      </c>
      <c r="M76" s="52">
        <f>R76*$B$1</f>
        <v>7.6</v>
      </c>
      <c r="N76" s="24">
        <v>8</v>
      </c>
      <c r="O76" s="24">
        <v>24</v>
      </c>
      <c r="P76" s="24">
        <v>22</v>
      </c>
      <c r="Q76" s="24">
        <v>5</v>
      </c>
      <c r="R76" s="24">
        <v>200</v>
      </c>
      <c r="S76" s="26" t="str">
        <f>IF(Sheet1!R76+Sheet2!$AB$7&gt;=Sheet2!$AA$7,"超出《标准包裹》重量",IF(AND(Sheet1!O76&lt;Sheet2!$X$7,Sheet1!P76&lt;Sheet2!$Y$7,Sheet1!Q76&lt;Sheet2!$Z$7),IF(Sheet1!R76+Sheet2!$AB$6&gt;=Sheet2!$AA$6,Sheet2!$W$7,IF(AND(Sheet1!O76&lt;Sheet2!$X$6,Sheet1!P76&lt;Sheet2!$Y$6,Sheet1!Q76&lt;Sheet2!$Z$6),IF(Sheet1!R76+Sheet2!$AB$5&gt;=Sheet2!$AA$5,Sheet2!$W$6,IF(AND(Sheet1!O76&lt;Sheet2!$X$5,Sheet1!P76&lt;Sheet2!$Y$5,Sheet1!Q76&lt;Sheet2!$Z$5),IF(Sheet1!R76+Sheet2!$AB$4&gt;=Sheet2!$AA$4,Sheet2!$W$5,IF(AND(Sheet1!O76&lt;Sheet2!$X$4,Sheet1!P76&lt;Sheet2!$Y$4,Sheet1!Q76&lt;Sheet2!$Z$4),Sheet2!$W$4,Sheet2!$W$5)),Sheet2!$W$6)),Sheet2!$W$7)),"超出《标准包裹》尺寸"))</f>
        <v>标准包裹</v>
      </c>
      <c r="T76" s="69">
        <f t="shared" si="20"/>
        <v>8.71868333333333</v>
      </c>
      <c r="Y76" s="76"/>
    </row>
    <row r="77" ht="15" customHeight="1" spans="1:25">
      <c r="A77" s="46"/>
      <c r="B77" s="47"/>
      <c r="C77" s="45" t="s">
        <v>33</v>
      </c>
      <c r="D77" s="39">
        <f>IF(S77=Sheet2!$W$4,INDEX(Sheet2!$J$5:$Q$5,1,MATCH(Sheet1!C77,Sheet2!$J$3:$Q$3,0)),IF(S77=Sheet2!$W$5,INDEX(Sheet2!$J$6:$Q$8,MATCH(Sheet1!R77,Sheet2!$H$6:$H$8,1),MATCH(Sheet1!C77,Sheet2!$J$3:$Q$3,0)),IF(S77=Sheet2!$W$6,INDEX(Sheet2!$J$9:$Q$9,1,MATCH(Sheet1!C77,Sheet2!$J$3:$Q$3,0)),IF(S77=Sheet2!$W$7,INDEX(Sheet2!$J$10:$Q$24,MATCH(Sheet1!R77,Sheet2!$H$10:$H$24,1),MATCH(Sheet1!C77,Sheet2!$J$3:$Q$3,0)),"ERR COUNTRY!"))))</f>
        <v>4.82</v>
      </c>
      <c r="E77" s="52">
        <f t="shared" si="4"/>
        <v>2.3985</v>
      </c>
      <c r="F77" s="53" t="s">
        <v>30</v>
      </c>
      <c r="G77" s="52">
        <f t="shared" si="19"/>
        <v>2.665</v>
      </c>
      <c r="H77" s="52">
        <f t="shared" si="5"/>
        <v>2.9085</v>
      </c>
      <c r="I77" s="52" t="s">
        <v>30</v>
      </c>
      <c r="J77" s="52">
        <f>IF(OR(C77=Sheet2!$A$10),0,L77*0.2)</f>
        <v>3.198</v>
      </c>
      <c r="K77" s="52">
        <f t="shared" si="6"/>
        <v>6.1065</v>
      </c>
      <c r="L77" s="58">
        <v>15.99</v>
      </c>
      <c r="M77" s="52">
        <f>R77*$B$1</f>
        <v>7.6</v>
      </c>
      <c r="N77" s="24">
        <v>8</v>
      </c>
      <c r="O77" s="24">
        <v>24</v>
      </c>
      <c r="P77" s="24">
        <v>22</v>
      </c>
      <c r="Q77" s="24">
        <v>5</v>
      </c>
      <c r="R77" s="24">
        <v>200</v>
      </c>
      <c r="S77" s="26" t="str">
        <f>IF(Sheet1!R77+Sheet2!$AB$7&gt;=Sheet2!$AA$7,"超出《标准包裹》重量",IF(AND(Sheet1!O77&lt;Sheet2!$X$7,Sheet1!P77&lt;Sheet2!$Y$7,Sheet1!Q77&lt;Sheet2!$Z$7),IF(Sheet1!R77+Sheet2!$AB$6&gt;=Sheet2!$AA$6,Sheet2!$W$7,IF(AND(Sheet1!O77&lt;Sheet2!$X$6,Sheet1!P77&lt;Sheet2!$Y$6,Sheet1!Q77&lt;Sheet2!$Z$6),IF(Sheet1!R77+Sheet2!$AB$5&gt;=Sheet2!$AA$5,Sheet2!$W$6,IF(AND(Sheet1!O77&lt;Sheet2!$X$5,Sheet1!P77&lt;Sheet2!$Y$5,Sheet1!Q77&lt;Sheet2!$Z$5),IF(Sheet1!R77+Sheet2!$AB$4&gt;=Sheet2!$AA$4,Sheet2!$W$5,IF(AND(Sheet1!O77&lt;Sheet2!$X$4,Sheet1!P77&lt;Sheet2!$Y$4,Sheet1!Q77&lt;Sheet2!$Z$4),Sheet2!$W$4,Sheet2!$W$5)),Sheet2!$W$6)),Sheet2!$W$7)),"超出《标准包裹》尺寸"))</f>
        <v>标准包裹</v>
      </c>
      <c r="T77" s="69">
        <f t="shared" si="20"/>
        <v>5.05035</v>
      </c>
      <c r="W77" s="75"/>
      <c r="X77" s="75"/>
      <c r="Y77" s="76"/>
    </row>
    <row r="78" ht="15" customHeight="1" spans="1:25">
      <c r="A78" s="46"/>
      <c r="B78" s="47"/>
      <c r="C78" s="45" t="s">
        <v>34</v>
      </c>
      <c r="D78" s="39">
        <f>IF(S78=Sheet2!$W$4,INDEX(Sheet2!$J$5:$Q$5,1,MATCH(Sheet1!C78,Sheet2!$J$3:$Q$3,0)),IF(S78=Sheet2!$W$5,INDEX(Sheet2!$J$6:$Q$8,MATCH(Sheet1!R78,Sheet2!$H$6:$H$8,1),MATCH(Sheet1!C78,Sheet2!$J$3:$Q$3,0)),IF(S78=Sheet2!$W$6,INDEX(Sheet2!$J$9:$Q$9,1,MATCH(Sheet1!C78,Sheet2!$J$3:$Q$3,0)),IF(S78=Sheet2!$W$7,INDEX(Sheet2!$J$10:$Q$24,MATCH(Sheet1!R78,Sheet2!$H$10:$H$24,1),MATCH(Sheet1!C78,Sheet2!$J$3:$Q$3,0)),"ERR COUNTRY!"))))</f>
        <v>4.1</v>
      </c>
      <c r="E78" s="52">
        <f t="shared" si="4"/>
        <v>2.2485</v>
      </c>
      <c r="F78" s="53" t="s">
        <v>30</v>
      </c>
      <c r="G78" s="52">
        <f t="shared" si="19"/>
        <v>2.49833333333333</v>
      </c>
      <c r="H78" s="52">
        <f t="shared" si="5"/>
        <v>3.14516666666667</v>
      </c>
      <c r="I78" s="52" t="s">
        <v>30</v>
      </c>
      <c r="J78" s="52">
        <f>IF(OR(C78=Sheet2!$A$10),0,L78*0.2)</f>
        <v>2.998</v>
      </c>
      <c r="K78" s="52">
        <f t="shared" si="6"/>
        <v>6.14316666666667</v>
      </c>
      <c r="L78" s="58">
        <v>14.99</v>
      </c>
      <c r="M78" s="52">
        <f>R78*$B$1</f>
        <v>7.6</v>
      </c>
      <c r="N78" s="24">
        <v>8</v>
      </c>
      <c r="O78" s="24">
        <v>24</v>
      </c>
      <c r="P78" s="24">
        <v>22</v>
      </c>
      <c r="Q78" s="24">
        <v>5</v>
      </c>
      <c r="R78" s="24">
        <v>200</v>
      </c>
      <c r="S78" s="26" t="str">
        <f>IF(Sheet1!R78+Sheet2!$AB$7&gt;=Sheet2!$AA$7,"超出《标准包裹》重量",IF(AND(Sheet1!O78&lt;Sheet2!$X$7,Sheet1!P78&lt;Sheet2!$Y$7,Sheet1!Q78&lt;Sheet2!$Z$7),IF(Sheet1!R78+Sheet2!$AB$6&gt;=Sheet2!$AA$6,Sheet2!$W$7,IF(AND(Sheet1!O78&lt;Sheet2!$X$6,Sheet1!P78&lt;Sheet2!$Y$6,Sheet1!Q78&lt;Sheet2!$Z$6),IF(Sheet1!R78+Sheet2!$AB$5&gt;=Sheet2!$AA$5,Sheet2!$W$6,IF(AND(Sheet1!O78&lt;Sheet2!$X$5,Sheet1!P78&lt;Sheet2!$Y$5,Sheet1!Q78&lt;Sheet2!$Z$5),IF(Sheet1!R78+Sheet2!$AB$4&gt;=Sheet2!$AA$4,Sheet2!$W$5,IF(AND(Sheet1!O78&lt;Sheet2!$X$4,Sheet1!P78&lt;Sheet2!$Y$4,Sheet1!Q78&lt;Sheet2!$Z$4),Sheet2!$W$4,Sheet2!$W$5)),Sheet2!$W$6)),Sheet2!$W$7)),"超出《标准包裹》尺寸"))</f>
        <v>标准包裹</v>
      </c>
      <c r="T78" s="69">
        <f t="shared" si="20"/>
        <v>6.73068333333333</v>
      </c>
      <c r="Y78" s="76"/>
    </row>
    <row r="79" ht="15" customHeight="1" spans="1:25">
      <c r="A79" s="46"/>
      <c r="B79" s="47"/>
      <c r="C79" s="45" t="s">
        <v>35</v>
      </c>
      <c r="D79" s="39">
        <f>IF(S79=Sheet2!$W$4,INDEX(Sheet2!$J$5:$Q$5,1,MATCH(Sheet1!C79,Sheet2!$J$3:$Q$3,0)),IF(S79=Sheet2!$W$5,INDEX(Sheet2!$J$6:$Q$8,MATCH(Sheet1!R79,Sheet2!$H$6:$H$8,1),MATCH(Sheet1!C79,Sheet2!$J$3:$Q$3,0)),IF(S79=Sheet2!$W$6,INDEX(Sheet2!$J$9:$Q$9,1,MATCH(Sheet1!C79,Sheet2!$J$3:$Q$3,0)),IF(S79=Sheet2!$W$7,INDEX(Sheet2!$J$10:$Q$24,MATCH(Sheet1!R79,Sheet2!$H$10:$H$24,1),MATCH(Sheet1!C79,Sheet2!$J$3:$Q$3,0)),"ERR COUNTRY!"))))</f>
        <v>3.16</v>
      </c>
      <c r="E79" s="52">
        <f t="shared" si="4"/>
        <v>2.0985</v>
      </c>
      <c r="F79" s="53" t="s">
        <v>30</v>
      </c>
      <c r="G79" s="52">
        <f t="shared" si="19"/>
        <v>2.33166666666667</v>
      </c>
      <c r="H79" s="52">
        <f t="shared" si="5"/>
        <v>3.60183333333333</v>
      </c>
      <c r="I79" s="52" t="s">
        <v>30</v>
      </c>
      <c r="J79" s="52">
        <f>IF(OR(C79=Sheet2!$A$10),0,L79*0.2)</f>
        <v>2.798</v>
      </c>
      <c r="K79" s="52">
        <f t="shared" si="6"/>
        <v>6.39983333333333</v>
      </c>
      <c r="L79" s="58">
        <v>13.99</v>
      </c>
      <c r="M79" s="52">
        <f>R79*$B$1</f>
        <v>7.6</v>
      </c>
      <c r="N79" s="24">
        <v>8</v>
      </c>
      <c r="O79" s="24">
        <v>24</v>
      </c>
      <c r="P79" s="24">
        <v>22</v>
      </c>
      <c r="Q79" s="24">
        <v>5</v>
      </c>
      <c r="R79" s="24">
        <v>200</v>
      </c>
      <c r="S79" s="26" t="str">
        <f>IF(Sheet1!R79+Sheet2!$AB$7&gt;=Sheet2!$AA$7,"超出《标准包裹》重量",IF(AND(Sheet1!O79&lt;Sheet2!$X$7,Sheet1!P79&lt;Sheet2!$Y$7,Sheet1!Q79&lt;Sheet2!$Z$7),IF(Sheet1!R79+Sheet2!$AB$6&gt;=Sheet2!$AA$6,Sheet2!$W$7,IF(AND(Sheet1!O79&lt;Sheet2!$X$6,Sheet1!P79&lt;Sheet2!$Y$6,Sheet1!Q79&lt;Sheet2!$Z$6),IF(Sheet1!R79+Sheet2!$AB$5&gt;=Sheet2!$AA$5,Sheet2!$W$6,IF(AND(Sheet1!O79&lt;Sheet2!$X$5,Sheet1!P79&lt;Sheet2!$Y$5,Sheet1!Q79&lt;Sheet2!$Z$5),IF(Sheet1!R79+Sheet2!$AB$4&gt;=Sheet2!$AA$4,Sheet2!$W$5,IF(AND(Sheet1!O79&lt;Sheet2!$X$4,Sheet1!P79&lt;Sheet2!$Y$4,Sheet1!Q79&lt;Sheet2!$Z$4),Sheet2!$W$4,Sheet2!$W$5)),Sheet2!$W$6)),Sheet2!$W$7)),"超出《标准包裹》尺寸"))</f>
        <v>标准包裹</v>
      </c>
      <c r="T79" s="69">
        <f t="shared" si="20"/>
        <v>9.97301666666667</v>
      </c>
      <c r="Y79" s="76"/>
    </row>
    <row r="80" ht="15" customHeight="1" spans="1:25">
      <c r="A80" s="46"/>
      <c r="B80" s="47"/>
      <c r="C80" s="45" t="s">
        <v>36</v>
      </c>
      <c r="D80" s="39">
        <f>IF(S80=Sheet2!$W$4,INDEX(Sheet2!$J$5:$Q$5,1,MATCH(Sheet1!C80,Sheet2!$J$3:$Q$3,0)),IF(S80=Sheet2!$W$5,INDEX(Sheet2!$J$6:$Q$8,MATCH(Sheet1!R80,Sheet2!$H$6:$H$8,1),MATCH(Sheet1!C80,Sheet2!$J$3:$Q$3,0)),IF(S80=Sheet2!$W$6,INDEX(Sheet2!$J$9:$Q$9,1,MATCH(Sheet1!C80,Sheet2!$J$3:$Q$3,0)),IF(S80=Sheet2!$W$7,INDEX(Sheet2!$J$10:$Q$24,MATCH(Sheet1!R80,Sheet2!$H$10:$H$24,1),MATCH(Sheet1!C80,Sheet2!$J$3:$Q$3,0)),"ERR COUNTRY!"))))</f>
        <v>42.91</v>
      </c>
      <c r="E80" s="52">
        <f t="shared" si="4"/>
        <v>21.3</v>
      </c>
      <c r="F80" s="53" t="s">
        <v>30</v>
      </c>
      <c r="G80" s="52">
        <f t="shared" si="19"/>
        <v>23.6666666666667</v>
      </c>
      <c r="H80" s="52">
        <f t="shared" si="5"/>
        <v>25.7233333333333</v>
      </c>
      <c r="I80" s="52" t="s">
        <v>30</v>
      </c>
      <c r="J80" s="52">
        <f>IF(OR(C80=Sheet2!$A$10),0,L80*0.2)</f>
        <v>28.4</v>
      </c>
      <c r="K80" s="52">
        <f t="shared" si="6"/>
        <v>54.1233333333333</v>
      </c>
      <c r="L80" s="58">
        <v>142</v>
      </c>
      <c r="M80" s="52">
        <f>R80*$B$1</f>
        <v>7.6</v>
      </c>
      <c r="N80" s="24">
        <v>8</v>
      </c>
      <c r="O80" s="24">
        <v>24</v>
      </c>
      <c r="P80" s="24">
        <v>22</v>
      </c>
      <c r="Q80" s="24">
        <v>5</v>
      </c>
      <c r="R80" s="24">
        <v>200</v>
      </c>
      <c r="S80" s="26" t="str">
        <f>IF(Sheet1!R80+Sheet2!$AB$7&gt;=Sheet2!$AA$7,"超出《标准包裹》重量",IF(AND(Sheet1!O80&lt;Sheet2!$X$7,Sheet1!P80&lt;Sheet2!$Y$7,Sheet1!Q80&lt;Sheet2!$Z$7),IF(Sheet1!R80+Sheet2!$AB$6&gt;=Sheet2!$AA$6,Sheet2!$W$7,IF(AND(Sheet1!O80&lt;Sheet2!$X$6,Sheet1!P80&lt;Sheet2!$Y$6,Sheet1!Q80&lt;Sheet2!$Z$6),IF(Sheet1!R80+Sheet2!$AB$5&gt;=Sheet2!$AA$5,Sheet2!$W$6,IF(AND(Sheet1!O80&lt;Sheet2!$X$5,Sheet1!P80&lt;Sheet2!$Y$5,Sheet1!Q80&lt;Sheet2!$Z$5),IF(Sheet1!R80+Sheet2!$AB$4&gt;=Sheet2!$AA$4,Sheet2!$W$5,IF(AND(Sheet1!O80&lt;Sheet2!$X$4,Sheet1!P80&lt;Sheet2!$Y$4,Sheet1!Q80&lt;Sheet2!$Z$4),Sheet2!$W$4,Sheet2!$W$5)),Sheet2!$W$6)),Sheet2!$W$7)),"超出《标准包裹》尺寸"))</f>
        <v>标准包裹</v>
      </c>
      <c r="T80" s="69">
        <f>H80*0.63-N80-M80</f>
        <v>0.605700000000008</v>
      </c>
      <c r="Y80" s="76"/>
    </row>
    <row r="81" ht="15" customHeight="1" spans="1:25">
      <c r="A81" s="46"/>
      <c r="B81" s="47"/>
      <c r="C81" s="45" t="s">
        <v>37</v>
      </c>
      <c r="D81" s="39">
        <f>IF(S81=Sheet2!$W$4,INDEX(Sheet2!$J$5:$Q$5,1,MATCH(Sheet1!C81,Sheet2!$J$3:$Q$3,0)),IF(S81=Sheet2!$W$5,INDEX(Sheet2!$J$6:$Q$8,MATCH(Sheet1!R81,Sheet2!$H$6:$H$8,1),MATCH(Sheet1!C81,Sheet2!$J$3:$Q$3,0)),IF(S81=Sheet2!$W$6,INDEX(Sheet2!$J$9:$Q$9,1,MATCH(Sheet1!C81,Sheet2!$J$3:$Q$3,0)),IF(S81=Sheet2!$W$7,INDEX(Sheet2!$J$10:$Q$24,MATCH(Sheet1!R81,Sheet2!$H$10:$H$24,1),MATCH(Sheet1!C81,Sheet2!$J$3:$Q$3,0)),"ERR COUNTRY!"))))</f>
        <v>5.66</v>
      </c>
      <c r="E81" s="52">
        <f t="shared" si="4"/>
        <v>7.2</v>
      </c>
      <c r="F81" s="53" t="s">
        <v>30</v>
      </c>
      <c r="G81" s="52">
        <f t="shared" si="19"/>
        <v>8</v>
      </c>
      <c r="H81" s="52">
        <f t="shared" si="5"/>
        <v>17.54</v>
      </c>
      <c r="I81" s="52" t="s">
        <v>30</v>
      </c>
      <c r="J81" s="52">
        <f>IF(OR(C81=Sheet2!$A$10),0,L81*0.2)</f>
        <v>9.6</v>
      </c>
      <c r="K81" s="52">
        <f t="shared" si="6"/>
        <v>27.14</v>
      </c>
      <c r="L81" s="58">
        <v>48</v>
      </c>
      <c r="M81" s="52">
        <f>R81*$B$1</f>
        <v>7.6</v>
      </c>
      <c r="N81" s="24">
        <v>8</v>
      </c>
      <c r="O81" s="24">
        <v>24</v>
      </c>
      <c r="P81" s="24">
        <v>22</v>
      </c>
      <c r="Q81" s="24">
        <v>5</v>
      </c>
      <c r="R81" s="24">
        <v>200</v>
      </c>
      <c r="S81" s="26" t="str">
        <f>IF(Sheet1!R81+Sheet2!$AB$7&gt;=Sheet2!$AA$7,"超出《标准包裹》重量",IF(AND(Sheet1!O81&lt;Sheet2!$X$7,Sheet1!P81&lt;Sheet2!$Y$7,Sheet1!Q81&lt;Sheet2!$Z$7),IF(Sheet1!R81+Sheet2!$AB$6&gt;=Sheet2!$AA$6,Sheet2!$W$7,IF(AND(Sheet1!O81&lt;Sheet2!$X$6,Sheet1!P81&lt;Sheet2!$Y$6,Sheet1!Q81&lt;Sheet2!$Z$6),IF(Sheet1!R81+Sheet2!$AB$5&gt;=Sheet2!$AA$5,Sheet2!$W$6,IF(AND(Sheet1!O81&lt;Sheet2!$X$5,Sheet1!P81&lt;Sheet2!$Y$5,Sheet1!Q81&lt;Sheet2!$Z$5),IF(Sheet1!R81+Sheet2!$AB$4&gt;=Sheet2!$AA$4,Sheet2!$W$5,IF(AND(Sheet1!O81&lt;Sheet2!$X$4,Sheet1!P81&lt;Sheet2!$Y$4,Sheet1!Q81&lt;Sheet2!$Z$4),Sheet2!$W$4,Sheet2!$W$5)),Sheet2!$W$6)),Sheet2!$W$7)),"超出《标准包裹》尺寸"))</f>
        <v>标准包裹</v>
      </c>
      <c r="T81" s="69">
        <f>H81*1.38-N81-M81</f>
        <v>8.6052</v>
      </c>
      <c r="Y81" s="76"/>
    </row>
    <row r="82" spans="1:25">
      <c r="A82" s="46"/>
      <c r="B82" s="47"/>
      <c r="C82" s="45"/>
      <c r="D82" s="39">
        <v>0</v>
      </c>
      <c r="E82" s="52">
        <f t="shared" si="4"/>
        <v>9</v>
      </c>
      <c r="F82" s="53" t="s">
        <v>39</v>
      </c>
      <c r="G82" s="52">
        <v>0</v>
      </c>
      <c r="H82" s="52">
        <f t="shared" si="5"/>
        <v>51</v>
      </c>
      <c r="I82" s="52" t="s">
        <v>30</v>
      </c>
      <c r="J82" s="52">
        <f>IF(OR(C82=Sheet2!$A$10),0,L82*0.2)</f>
        <v>0</v>
      </c>
      <c r="K82" s="52">
        <f t="shared" si="6"/>
        <v>51</v>
      </c>
      <c r="L82" s="59">
        <v>60</v>
      </c>
      <c r="M82" s="52">
        <f>R82*$B$1</f>
        <v>7.6</v>
      </c>
      <c r="N82" s="24">
        <v>8</v>
      </c>
      <c r="O82" s="64"/>
      <c r="P82" s="64"/>
      <c r="Q82" s="64"/>
      <c r="R82" s="24">
        <v>200</v>
      </c>
      <c r="S82" s="70"/>
      <c r="T82" s="69">
        <f>H82*0.44-N82-M82</f>
        <v>6.84</v>
      </c>
      <c r="Y82" s="76"/>
    </row>
    <row r="83" ht="15" customHeight="1" spans="1:25">
      <c r="A83" s="77"/>
      <c r="B83" s="44"/>
      <c r="C83" s="45" t="s">
        <v>29</v>
      </c>
      <c r="D83" s="39">
        <f>IF(S83=Sheet2!$W$4,INDEX(Sheet2!$J$5:$Q$5,1,MATCH(Sheet1!C83,Sheet2!$J$3:$Q$3,0)),IF(S83=Sheet2!$W$5,INDEX(Sheet2!$J$6:$Q$8,MATCH(Sheet1!R83,Sheet2!$H$6:$H$8,1),MATCH(Sheet1!C83,Sheet2!$J$3:$Q$3,0)),IF(S83=Sheet2!$W$6,INDEX(Sheet2!$J$9:$Q$9,1,MATCH(Sheet1!C83,Sheet2!$J$3:$Q$3,0)),IF(S83=Sheet2!$W$7,INDEX(Sheet2!$J$10:$Q$24,MATCH(Sheet1!R83,Sheet2!$H$10:$H$24,1),MATCH(Sheet1!C83,Sheet2!$J$3:$Q$3,0)),"ERR COUNTRY!"))))</f>
        <v>2.77</v>
      </c>
      <c r="E83" s="52">
        <f t="shared" ref="E83:E146" si="21">L83*0.15</f>
        <v>1.7985</v>
      </c>
      <c r="F83" s="53" t="s">
        <v>30</v>
      </c>
      <c r="G83" s="52">
        <f t="shared" ref="G83:G90" si="22">L83-L83/(1+20%)</f>
        <v>1.99833333333333</v>
      </c>
      <c r="H83" s="52">
        <f t="shared" ref="H83:H146" si="23">IF(F83="是",IF(I83="是",L83-SUM(D83,E83,G83,J83),L83-SUM(D83,E83,G83)),IF(I83="是",L83-SUM(D83,E83,J83),L83-SUM(D83,E83)))</f>
        <v>3.02516666666667</v>
      </c>
      <c r="I83" s="52" t="s">
        <v>30</v>
      </c>
      <c r="J83" s="52">
        <f>IF(OR(C83=Sheet2!$A$10),0,L83*0.2)</f>
        <v>2.398</v>
      </c>
      <c r="K83" s="52">
        <f t="shared" ref="K83:K146" si="24">H83+J83</f>
        <v>5.42316666666667</v>
      </c>
      <c r="L83" s="58">
        <v>11.99</v>
      </c>
      <c r="M83" s="52">
        <f>R83*$B$1</f>
        <v>7.6</v>
      </c>
      <c r="N83" s="24">
        <v>8</v>
      </c>
      <c r="O83" s="24">
        <v>24</v>
      </c>
      <c r="P83" s="24">
        <v>22</v>
      </c>
      <c r="Q83" s="24">
        <v>5</v>
      </c>
      <c r="R83" s="24">
        <v>200</v>
      </c>
      <c r="S83" s="26" t="str">
        <f>IF(Sheet1!R83+Sheet2!$AB$7&gt;=Sheet2!$AA$7,"超出《标准包裹》重量",IF(AND(Sheet1!O83&lt;Sheet2!$X$7,Sheet1!P83&lt;Sheet2!$Y$7,Sheet1!Q83&lt;Sheet2!$Z$7),IF(Sheet1!R83+Sheet2!$AB$6&gt;=Sheet2!$AA$6,Sheet2!$W$7,IF(AND(Sheet1!O83&lt;Sheet2!$X$6,Sheet1!P83&lt;Sheet2!$Y$6,Sheet1!Q83&lt;Sheet2!$Z$6),IF(Sheet1!R83+Sheet2!$AB$5&gt;=Sheet2!$AA$5,Sheet2!$W$6,IF(AND(Sheet1!O83&lt;Sheet2!$X$5,Sheet1!P83&lt;Sheet2!$Y$5,Sheet1!Q83&lt;Sheet2!$Z$5),IF(Sheet1!R83+Sheet2!$AB$4&gt;=Sheet2!$AA$4,Sheet2!$W$5,IF(AND(Sheet1!O83&lt;Sheet2!$X$4,Sheet1!P83&lt;Sheet2!$Y$4,Sheet1!Q83&lt;Sheet2!$Z$4),Sheet2!$W$4,Sheet2!$W$5)),Sheet2!$W$6)),Sheet2!$W$7)),"超出《标准包裹》尺寸"))</f>
        <v>标准包裹</v>
      </c>
      <c r="T83" s="69">
        <f>H83*8.3-N83-M83</f>
        <v>9.50888333333334</v>
      </c>
      <c r="W83" s="74"/>
      <c r="X83" s="74"/>
      <c r="Y83" s="76"/>
    </row>
    <row r="84" ht="15" customHeight="1" spans="1:25">
      <c r="A84" s="46"/>
      <c r="B84" s="47"/>
      <c r="C84" s="45" t="s">
        <v>31</v>
      </c>
      <c r="D84" s="39">
        <f>IF(S84=Sheet2!$W$4,INDEX(Sheet2!$J$5:$Q$5,1,MATCH(Sheet1!C84,Sheet2!$J$3:$Q$3,0)),IF(S84=Sheet2!$W$5,INDEX(Sheet2!$J$6:$Q$8,MATCH(Sheet1!R84,Sheet2!$H$6:$H$8,1),MATCH(Sheet1!C84,Sheet2!$J$3:$Q$3,0)),IF(S84=Sheet2!$W$6,INDEX(Sheet2!$J$9:$Q$9,1,MATCH(Sheet1!C84,Sheet2!$J$3:$Q$3,0)),IF(S84=Sheet2!$W$7,INDEX(Sheet2!$J$10:$Q$24,MATCH(Sheet1!R84,Sheet2!$H$10:$H$24,1),MATCH(Sheet1!C84,Sheet2!$J$3:$Q$3,0)),"ERR COUNTRY!"))))</f>
        <v>3.73</v>
      </c>
      <c r="E84" s="52">
        <f t="shared" si="21"/>
        <v>2.0985</v>
      </c>
      <c r="F84" s="53" t="s">
        <v>30</v>
      </c>
      <c r="G84" s="52">
        <f t="shared" si="22"/>
        <v>2.33166666666667</v>
      </c>
      <c r="H84" s="52">
        <f t="shared" si="23"/>
        <v>3.03183333333333</v>
      </c>
      <c r="I84" s="52" t="s">
        <v>30</v>
      </c>
      <c r="J84" s="52">
        <f>IF(OR(C84=Sheet2!$A$10),0,L84*0.2)</f>
        <v>2.798</v>
      </c>
      <c r="K84" s="52">
        <f t="shared" si="24"/>
        <v>5.82983333333333</v>
      </c>
      <c r="L84" s="58">
        <v>13.99</v>
      </c>
      <c r="M84" s="52">
        <f>R84*$B$1</f>
        <v>7.6</v>
      </c>
      <c r="N84" s="24">
        <v>8</v>
      </c>
      <c r="O84" s="24">
        <v>24</v>
      </c>
      <c r="P84" s="24">
        <v>22</v>
      </c>
      <c r="Q84" s="24">
        <v>5</v>
      </c>
      <c r="R84" s="24">
        <v>200</v>
      </c>
      <c r="S84" s="26" t="str">
        <f>IF(Sheet1!R84+Sheet2!$AB$7&gt;=Sheet2!$AA$7,"超出《标准包裹》重量",IF(AND(Sheet1!O84&lt;Sheet2!$X$7,Sheet1!P84&lt;Sheet2!$Y$7,Sheet1!Q84&lt;Sheet2!$Z$7),IF(Sheet1!R84+Sheet2!$AB$6&gt;=Sheet2!$AA$6,Sheet2!$W$7,IF(AND(Sheet1!O84&lt;Sheet2!$X$6,Sheet1!P84&lt;Sheet2!$Y$6,Sheet1!Q84&lt;Sheet2!$Z$6),IF(Sheet1!R84+Sheet2!$AB$5&gt;=Sheet2!$AA$5,Sheet2!$W$6,IF(AND(Sheet1!O84&lt;Sheet2!$X$5,Sheet1!P84&lt;Sheet2!$Y$5,Sheet1!Q84&lt;Sheet2!$Z$5),IF(Sheet1!R84+Sheet2!$AB$4&gt;=Sheet2!$AA$4,Sheet2!$W$5,IF(AND(Sheet1!O84&lt;Sheet2!$X$4,Sheet1!P84&lt;Sheet2!$Y$4,Sheet1!Q84&lt;Sheet2!$Z$4),Sheet2!$W$4,Sheet2!$W$5)),Sheet2!$W$6)),Sheet2!$W$7)),"超出《标准包裹》尺寸"))</f>
        <v>标准包裹</v>
      </c>
      <c r="T84" s="69">
        <f t="shared" ref="T84:T88" si="25">H84*7.1-N84-M84</f>
        <v>5.92601666666666</v>
      </c>
      <c r="X84" s="74"/>
      <c r="Y84" s="76"/>
    </row>
    <row r="85" ht="15" customHeight="1" spans="1:25">
      <c r="A85" s="46"/>
      <c r="B85" s="47"/>
      <c r="C85" s="45" t="s">
        <v>32</v>
      </c>
      <c r="D85" s="39">
        <f>IF(S85=Sheet2!$W$4,INDEX(Sheet2!$J$5:$Q$5,1,MATCH(Sheet1!C85,Sheet2!$J$3:$Q$3,0)),IF(S85=Sheet2!$W$5,INDEX(Sheet2!$J$6:$Q$8,MATCH(Sheet1!R85,Sheet2!$H$6:$H$8,1),MATCH(Sheet1!C85,Sheet2!$J$3:$Q$3,0)),IF(S85=Sheet2!$W$6,INDEX(Sheet2!$J$9:$Q$9,1,MATCH(Sheet1!C85,Sheet2!$J$3:$Q$3,0)),IF(S85=Sheet2!$W$7,INDEX(Sheet2!$J$10:$Q$24,MATCH(Sheet1!R85,Sheet2!$H$10:$H$24,1),MATCH(Sheet1!C85,Sheet2!$J$3:$Q$3,0)),"ERR COUNTRY!"))))</f>
        <v>5.27</v>
      </c>
      <c r="E85" s="52">
        <f t="shared" si="21"/>
        <v>2.6985</v>
      </c>
      <c r="F85" s="53" t="s">
        <v>30</v>
      </c>
      <c r="G85" s="52">
        <f t="shared" si="22"/>
        <v>2.99833333333333</v>
      </c>
      <c r="H85" s="52">
        <f t="shared" si="23"/>
        <v>3.42516666666667</v>
      </c>
      <c r="I85" s="52" t="s">
        <v>30</v>
      </c>
      <c r="J85" s="52">
        <f>IF(OR(C85=Sheet2!$A$10),0,L85*0.2)</f>
        <v>3.598</v>
      </c>
      <c r="K85" s="52">
        <f t="shared" si="24"/>
        <v>7.02316666666667</v>
      </c>
      <c r="L85" s="58">
        <v>17.99</v>
      </c>
      <c r="M85" s="52">
        <f>R85*$B$1</f>
        <v>7.6</v>
      </c>
      <c r="N85" s="24">
        <v>8</v>
      </c>
      <c r="O85" s="24">
        <v>24</v>
      </c>
      <c r="P85" s="24">
        <v>22</v>
      </c>
      <c r="Q85" s="24">
        <v>5</v>
      </c>
      <c r="R85" s="24">
        <v>200</v>
      </c>
      <c r="S85" s="26" t="str">
        <f>IF(Sheet1!R85+Sheet2!$AB$7&gt;=Sheet2!$AA$7,"超出《标准包裹》重量",IF(AND(Sheet1!O85&lt;Sheet2!$X$7,Sheet1!P85&lt;Sheet2!$Y$7,Sheet1!Q85&lt;Sheet2!$Z$7),IF(Sheet1!R85+Sheet2!$AB$6&gt;=Sheet2!$AA$6,Sheet2!$W$7,IF(AND(Sheet1!O85&lt;Sheet2!$X$6,Sheet1!P85&lt;Sheet2!$Y$6,Sheet1!Q85&lt;Sheet2!$Z$6),IF(Sheet1!R85+Sheet2!$AB$5&gt;=Sheet2!$AA$5,Sheet2!$W$6,IF(AND(Sheet1!O85&lt;Sheet2!$X$5,Sheet1!P85&lt;Sheet2!$Y$5,Sheet1!Q85&lt;Sheet2!$Z$5),IF(Sheet1!R85+Sheet2!$AB$4&gt;=Sheet2!$AA$4,Sheet2!$W$5,IF(AND(Sheet1!O85&lt;Sheet2!$X$4,Sheet1!P85&lt;Sheet2!$Y$4,Sheet1!Q85&lt;Sheet2!$Z$4),Sheet2!$W$4,Sheet2!$W$5)),Sheet2!$W$6)),Sheet2!$W$7)),"超出《标准包裹》尺寸"))</f>
        <v>标准包裹</v>
      </c>
      <c r="T85" s="69">
        <f t="shared" si="25"/>
        <v>8.71868333333333</v>
      </c>
      <c r="Y85" s="76"/>
    </row>
    <row r="86" ht="15" customHeight="1" spans="1:25">
      <c r="A86" s="46"/>
      <c r="B86" s="47"/>
      <c r="C86" s="45" t="s">
        <v>33</v>
      </c>
      <c r="D86" s="39">
        <f>IF(S86=Sheet2!$W$4,INDEX(Sheet2!$J$5:$Q$5,1,MATCH(Sheet1!C86,Sheet2!$J$3:$Q$3,0)),IF(S86=Sheet2!$W$5,INDEX(Sheet2!$J$6:$Q$8,MATCH(Sheet1!R86,Sheet2!$H$6:$H$8,1),MATCH(Sheet1!C86,Sheet2!$J$3:$Q$3,0)),IF(S86=Sheet2!$W$6,INDEX(Sheet2!$J$9:$Q$9,1,MATCH(Sheet1!C86,Sheet2!$J$3:$Q$3,0)),IF(S86=Sheet2!$W$7,INDEX(Sheet2!$J$10:$Q$24,MATCH(Sheet1!R86,Sheet2!$H$10:$H$24,1),MATCH(Sheet1!C86,Sheet2!$J$3:$Q$3,0)),"ERR COUNTRY!"))))</f>
        <v>4.82</v>
      </c>
      <c r="E86" s="52">
        <f t="shared" si="21"/>
        <v>2.3985</v>
      </c>
      <c r="F86" s="53" t="s">
        <v>30</v>
      </c>
      <c r="G86" s="52">
        <f t="shared" si="22"/>
        <v>2.665</v>
      </c>
      <c r="H86" s="52">
        <f t="shared" si="23"/>
        <v>2.9085</v>
      </c>
      <c r="I86" s="52" t="s">
        <v>30</v>
      </c>
      <c r="J86" s="52">
        <f>IF(OR(C86=Sheet2!$A$10),0,L86*0.2)</f>
        <v>3.198</v>
      </c>
      <c r="K86" s="52">
        <f t="shared" si="24"/>
        <v>6.1065</v>
      </c>
      <c r="L86" s="58">
        <v>15.99</v>
      </c>
      <c r="M86" s="52">
        <f>R86*$B$1</f>
        <v>7.6</v>
      </c>
      <c r="N86" s="24">
        <v>8</v>
      </c>
      <c r="O86" s="24">
        <v>24</v>
      </c>
      <c r="P86" s="24">
        <v>22</v>
      </c>
      <c r="Q86" s="24">
        <v>5</v>
      </c>
      <c r="R86" s="24">
        <v>200</v>
      </c>
      <c r="S86" s="26" t="str">
        <f>IF(Sheet1!R86+Sheet2!$AB$7&gt;=Sheet2!$AA$7,"超出《标准包裹》重量",IF(AND(Sheet1!O86&lt;Sheet2!$X$7,Sheet1!P86&lt;Sheet2!$Y$7,Sheet1!Q86&lt;Sheet2!$Z$7),IF(Sheet1!R86+Sheet2!$AB$6&gt;=Sheet2!$AA$6,Sheet2!$W$7,IF(AND(Sheet1!O86&lt;Sheet2!$X$6,Sheet1!P86&lt;Sheet2!$Y$6,Sheet1!Q86&lt;Sheet2!$Z$6),IF(Sheet1!R86+Sheet2!$AB$5&gt;=Sheet2!$AA$5,Sheet2!$W$6,IF(AND(Sheet1!O86&lt;Sheet2!$X$5,Sheet1!P86&lt;Sheet2!$Y$5,Sheet1!Q86&lt;Sheet2!$Z$5),IF(Sheet1!R86+Sheet2!$AB$4&gt;=Sheet2!$AA$4,Sheet2!$W$5,IF(AND(Sheet1!O86&lt;Sheet2!$X$4,Sheet1!P86&lt;Sheet2!$Y$4,Sheet1!Q86&lt;Sheet2!$Z$4),Sheet2!$W$4,Sheet2!$W$5)),Sheet2!$W$6)),Sheet2!$W$7)),"超出《标准包裹》尺寸"))</f>
        <v>标准包裹</v>
      </c>
      <c r="T86" s="69">
        <f t="shared" si="25"/>
        <v>5.05035</v>
      </c>
      <c r="W86" s="75"/>
      <c r="X86" s="75"/>
      <c r="Y86" s="76"/>
    </row>
    <row r="87" ht="15" customHeight="1" spans="1:25">
      <c r="A87" s="46"/>
      <c r="B87" s="47"/>
      <c r="C87" s="45" t="s">
        <v>34</v>
      </c>
      <c r="D87" s="39">
        <f>IF(S87=Sheet2!$W$4,INDEX(Sheet2!$J$5:$Q$5,1,MATCH(Sheet1!C87,Sheet2!$J$3:$Q$3,0)),IF(S87=Sheet2!$W$5,INDEX(Sheet2!$J$6:$Q$8,MATCH(Sheet1!R87,Sheet2!$H$6:$H$8,1),MATCH(Sheet1!C87,Sheet2!$J$3:$Q$3,0)),IF(S87=Sheet2!$W$6,INDEX(Sheet2!$J$9:$Q$9,1,MATCH(Sheet1!C87,Sheet2!$J$3:$Q$3,0)),IF(S87=Sheet2!$W$7,INDEX(Sheet2!$J$10:$Q$24,MATCH(Sheet1!R87,Sheet2!$H$10:$H$24,1),MATCH(Sheet1!C87,Sheet2!$J$3:$Q$3,0)),"ERR COUNTRY!"))))</f>
        <v>4.1</v>
      </c>
      <c r="E87" s="52">
        <f t="shared" si="21"/>
        <v>2.2485</v>
      </c>
      <c r="F87" s="53" t="s">
        <v>30</v>
      </c>
      <c r="G87" s="52">
        <f t="shared" si="22"/>
        <v>2.49833333333333</v>
      </c>
      <c r="H87" s="52">
        <f t="shared" si="23"/>
        <v>3.14516666666667</v>
      </c>
      <c r="I87" s="52" t="s">
        <v>30</v>
      </c>
      <c r="J87" s="52">
        <f>IF(OR(C87=Sheet2!$A$10),0,L87*0.2)</f>
        <v>2.998</v>
      </c>
      <c r="K87" s="52">
        <f t="shared" si="24"/>
        <v>6.14316666666667</v>
      </c>
      <c r="L87" s="58">
        <v>14.99</v>
      </c>
      <c r="M87" s="52">
        <f>R87*$B$1</f>
        <v>7.6</v>
      </c>
      <c r="N87" s="24">
        <v>8</v>
      </c>
      <c r="O87" s="24">
        <v>24</v>
      </c>
      <c r="P87" s="24">
        <v>22</v>
      </c>
      <c r="Q87" s="24">
        <v>5</v>
      </c>
      <c r="R87" s="24">
        <v>200</v>
      </c>
      <c r="S87" s="26" t="str">
        <f>IF(Sheet1!R87+Sheet2!$AB$7&gt;=Sheet2!$AA$7,"超出《标准包裹》重量",IF(AND(Sheet1!O87&lt;Sheet2!$X$7,Sheet1!P87&lt;Sheet2!$Y$7,Sheet1!Q87&lt;Sheet2!$Z$7),IF(Sheet1!R87+Sheet2!$AB$6&gt;=Sheet2!$AA$6,Sheet2!$W$7,IF(AND(Sheet1!O87&lt;Sheet2!$X$6,Sheet1!P87&lt;Sheet2!$Y$6,Sheet1!Q87&lt;Sheet2!$Z$6),IF(Sheet1!R87+Sheet2!$AB$5&gt;=Sheet2!$AA$5,Sheet2!$W$6,IF(AND(Sheet1!O87&lt;Sheet2!$X$5,Sheet1!P87&lt;Sheet2!$Y$5,Sheet1!Q87&lt;Sheet2!$Z$5),IF(Sheet1!R87+Sheet2!$AB$4&gt;=Sheet2!$AA$4,Sheet2!$W$5,IF(AND(Sheet1!O87&lt;Sheet2!$X$4,Sheet1!P87&lt;Sheet2!$Y$4,Sheet1!Q87&lt;Sheet2!$Z$4),Sheet2!$W$4,Sheet2!$W$5)),Sheet2!$W$6)),Sheet2!$W$7)),"超出《标准包裹》尺寸"))</f>
        <v>标准包裹</v>
      </c>
      <c r="T87" s="69">
        <f t="shared" si="25"/>
        <v>6.73068333333333</v>
      </c>
      <c r="Y87" s="76"/>
    </row>
    <row r="88" ht="15" customHeight="1" spans="1:25">
      <c r="A88" s="46"/>
      <c r="B88" s="47"/>
      <c r="C88" s="45" t="s">
        <v>35</v>
      </c>
      <c r="D88" s="39">
        <f>IF(S88=Sheet2!$W$4,INDEX(Sheet2!$J$5:$Q$5,1,MATCH(Sheet1!C88,Sheet2!$J$3:$Q$3,0)),IF(S88=Sheet2!$W$5,INDEX(Sheet2!$J$6:$Q$8,MATCH(Sheet1!R88,Sheet2!$H$6:$H$8,1),MATCH(Sheet1!C88,Sheet2!$J$3:$Q$3,0)),IF(S88=Sheet2!$W$6,INDEX(Sheet2!$J$9:$Q$9,1,MATCH(Sheet1!C88,Sheet2!$J$3:$Q$3,0)),IF(S88=Sheet2!$W$7,INDEX(Sheet2!$J$10:$Q$24,MATCH(Sheet1!R88,Sheet2!$H$10:$H$24,1),MATCH(Sheet1!C88,Sheet2!$J$3:$Q$3,0)),"ERR COUNTRY!"))))</f>
        <v>3.16</v>
      </c>
      <c r="E88" s="52">
        <f t="shared" si="21"/>
        <v>2.0985</v>
      </c>
      <c r="F88" s="53" t="s">
        <v>30</v>
      </c>
      <c r="G88" s="52">
        <f t="shared" si="22"/>
        <v>2.33166666666667</v>
      </c>
      <c r="H88" s="52">
        <f t="shared" si="23"/>
        <v>3.60183333333333</v>
      </c>
      <c r="I88" s="52" t="s">
        <v>30</v>
      </c>
      <c r="J88" s="52">
        <f>IF(OR(C88=Sheet2!$A$10),0,L88*0.2)</f>
        <v>2.798</v>
      </c>
      <c r="K88" s="52">
        <f t="shared" si="24"/>
        <v>6.39983333333333</v>
      </c>
      <c r="L88" s="58">
        <v>13.99</v>
      </c>
      <c r="M88" s="52">
        <f>R88*$B$1</f>
        <v>7.6</v>
      </c>
      <c r="N88" s="24">
        <v>8</v>
      </c>
      <c r="O88" s="24">
        <v>24</v>
      </c>
      <c r="P88" s="24">
        <v>22</v>
      </c>
      <c r="Q88" s="24">
        <v>5</v>
      </c>
      <c r="R88" s="24">
        <v>200</v>
      </c>
      <c r="S88" s="26" t="str">
        <f>IF(Sheet1!R88+Sheet2!$AB$7&gt;=Sheet2!$AA$7,"超出《标准包裹》重量",IF(AND(Sheet1!O88&lt;Sheet2!$X$7,Sheet1!P88&lt;Sheet2!$Y$7,Sheet1!Q88&lt;Sheet2!$Z$7),IF(Sheet1!R88+Sheet2!$AB$6&gt;=Sheet2!$AA$6,Sheet2!$W$7,IF(AND(Sheet1!O88&lt;Sheet2!$X$6,Sheet1!P88&lt;Sheet2!$Y$6,Sheet1!Q88&lt;Sheet2!$Z$6),IF(Sheet1!R88+Sheet2!$AB$5&gt;=Sheet2!$AA$5,Sheet2!$W$6,IF(AND(Sheet1!O88&lt;Sheet2!$X$5,Sheet1!P88&lt;Sheet2!$Y$5,Sheet1!Q88&lt;Sheet2!$Z$5),IF(Sheet1!R88+Sheet2!$AB$4&gt;=Sheet2!$AA$4,Sheet2!$W$5,IF(AND(Sheet1!O88&lt;Sheet2!$X$4,Sheet1!P88&lt;Sheet2!$Y$4,Sheet1!Q88&lt;Sheet2!$Z$4),Sheet2!$W$4,Sheet2!$W$5)),Sheet2!$W$6)),Sheet2!$W$7)),"超出《标准包裹》尺寸"))</f>
        <v>标准包裹</v>
      </c>
      <c r="T88" s="69">
        <f t="shared" si="25"/>
        <v>9.97301666666667</v>
      </c>
      <c r="Y88" s="76"/>
    </row>
    <row r="89" ht="15" customHeight="1" spans="1:25">
      <c r="A89" s="46"/>
      <c r="B89" s="47"/>
      <c r="C89" s="45" t="s">
        <v>36</v>
      </c>
      <c r="D89" s="39">
        <f>IF(S89=Sheet2!$W$4,INDEX(Sheet2!$J$5:$Q$5,1,MATCH(Sheet1!C89,Sheet2!$J$3:$Q$3,0)),IF(S89=Sheet2!$W$5,INDEX(Sheet2!$J$6:$Q$8,MATCH(Sheet1!R89,Sheet2!$H$6:$H$8,1),MATCH(Sheet1!C89,Sheet2!$J$3:$Q$3,0)),IF(S89=Sheet2!$W$6,INDEX(Sheet2!$J$9:$Q$9,1,MATCH(Sheet1!C89,Sheet2!$J$3:$Q$3,0)),IF(S89=Sheet2!$W$7,INDEX(Sheet2!$J$10:$Q$24,MATCH(Sheet1!R89,Sheet2!$H$10:$H$24,1),MATCH(Sheet1!C89,Sheet2!$J$3:$Q$3,0)),"ERR COUNTRY!"))))</f>
        <v>42.91</v>
      </c>
      <c r="E89" s="52">
        <f t="shared" si="21"/>
        <v>21.3</v>
      </c>
      <c r="F89" s="53" t="s">
        <v>30</v>
      </c>
      <c r="G89" s="52">
        <f t="shared" si="22"/>
        <v>23.6666666666667</v>
      </c>
      <c r="H89" s="52">
        <f t="shared" si="23"/>
        <v>25.7233333333333</v>
      </c>
      <c r="I89" s="52" t="s">
        <v>30</v>
      </c>
      <c r="J89" s="52">
        <f>IF(OR(C89=Sheet2!$A$10),0,L89*0.2)</f>
        <v>28.4</v>
      </c>
      <c r="K89" s="52">
        <f t="shared" si="24"/>
        <v>54.1233333333333</v>
      </c>
      <c r="L89" s="58">
        <v>142</v>
      </c>
      <c r="M89" s="52">
        <f>R89*$B$1</f>
        <v>7.6</v>
      </c>
      <c r="N89" s="24">
        <v>8</v>
      </c>
      <c r="O89" s="24">
        <v>24</v>
      </c>
      <c r="P89" s="24">
        <v>22</v>
      </c>
      <c r="Q89" s="24">
        <v>5</v>
      </c>
      <c r="R89" s="24">
        <v>200</v>
      </c>
      <c r="S89" s="26" t="str">
        <f>IF(Sheet1!R89+Sheet2!$AB$7&gt;=Sheet2!$AA$7,"超出《标准包裹》重量",IF(AND(Sheet1!O89&lt;Sheet2!$X$7,Sheet1!P89&lt;Sheet2!$Y$7,Sheet1!Q89&lt;Sheet2!$Z$7),IF(Sheet1!R89+Sheet2!$AB$6&gt;=Sheet2!$AA$6,Sheet2!$W$7,IF(AND(Sheet1!O89&lt;Sheet2!$X$6,Sheet1!P89&lt;Sheet2!$Y$6,Sheet1!Q89&lt;Sheet2!$Z$6),IF(Sheet1!R89+Sheet2!$AB$5&gt;=Sheet2!$AA$5,Sheet2!$W$6,IF(AND(Sheet1!O89&lt;Sheet2!$X$5,Sheet1!P89&lt;Sheet2!$Y$5,Sheet1!Q89&lt;Sheet2!$Z$5),IF(Sheet1!R89+Sheet2!$AB$4&gt;=Sheet2!$AA$4,Sheet2!$W$5,IF(AND(Sheet1!O89&lt;Sheet2!$X$4,Sheet1!P89&lt;Sheet2!$Y$4,Sheet1!Q89&lt;Sheet2!$Z$4),Sheet2!$W$4,Sheet2!$W$5)),Sheet2!$W$6)),Sheet2!$W$7)),"超出《标准包裹》尺寸"))</f>
        <v>标准包裹</v>
      </c>
      <c r="T89" s="69">
        <f>H89*0.63-N89-M89</f>
        <v>0.605700000000008</v>
      </c>
      <c r="Y89" s="76"/>
    </row>
    <row r="90" ht="15" customHeight="1" spans="1:25">
      <c r="A90" s="46"/>
      <c r="B90" s="47"/>
      <c r="C90" s="45" t="s">
        <v>37</v>
      </c>
      <c r="D90" s="39">
        <f>IF(S90=Sheet2!$W$4,INDEX(Sheet2!$J$5:$Q$5,1,MATCH(Sheet1!C90,Sheet2!$J$3:$Q$3,0)),IF(S90=Sheet2!$W$5,INDEX(Sheet2!$J$6:$Q$8,MATCH(Sheet1!R90,Sheet2!$H$6:$H$8,1),MATCH(Sheet1!C90,Sheet2!$J$3:$Q$3,0)),IF(S90=Sheet2!$W$6,INDEX(Sheet2!$J$9:$Q$9,1,MATCH(Sheet1!C90,Sheet2!$J$3:$Q$3,0)),IF(S90=Sheet2!$W$7,INDEX(Sheet2!$J$10:$Q$24,MATCH(Sheet1!R90,Sheet2!$H$10:$H$24,1),MATCH(Sheet1!C90,Sheet2!$J$3:$Q$3,0)),"ERR COUNTRY!"))))</f>
        <v>5.66</v>
      </c>
      <c r="E90" s="52">
        <f t="shared" si="21"/>
        <v>7.2</v>
      </c>
      <c r="F90" s="53" t="s">
        <v>30</v>
      </c>
      <c r="G90" s="52">
        <f t="shared" si="22"/>
        <v>8</v>
      </c>
      <c r="H90" s="52">
        <f t="shared" si="23"/>
        <v>17.54</v>
      </c>
      <c r="I90" s="52" t="s">
        <v>30</v>
      </c>
      <c r="J90" s="52">
        <f>IF(OR(C90=Sheet2!$A$10),0,L90*0.2)</f>
        <v>9.6</v>
      </c>
      <c r="K90" s="52">
        <f t="shared" si="24"/>
        <v>27.14</v>
      </c>
      <c r="L90" s="58">
        <v>48</v>
      </c>
      <c r="M90" s="52">
        <f>R90*$B$1</f>
        <v>7.6</v>
      </c>
      <c r="N90" s="24">
        <v>8</v>
      </c>
      <c r="O90" s="24">
        <v>24</v>
      </c>
      <c r="P90" s="24">
        <v>22</v>
      </c>
      <c r="Q90" s="24">
        <v>5</v>
      </c>
      <c r="R90" s="24">
        <v>200</v>
      </c>
      <c r="S90" s="26" t="str">
        <f>IF(Sheet1!R90+Sheet2!$AB$7&gt;=Sheet2!$AA$7,"超出《标准包裹》重量",IF(AND(Sheet1!O90&lt;Sheet2!$X$7,Sheet1!P90&lt;Sheet2!$Y$7,Sheet1!Q90&lt;Sheet2!$Z$7),IF(Sheet1!R90+Sheet2!$AB$6&gt;=Sheet2!$AA$6,Sheet2!$W$7,IF(AND(Sheet1!O90&lt;Sheet2!$X$6,Sheet1!P90&lt;Sheet2!$Y$6,Sheet1!Q90&lt;Sheet2!$Z$6),IF(Sheet1!R90+Sheet2!$AB$5&gt;=Sheet2!$AA$5,Sheet2!$W$6,IF(AND(Sheet1!O90&lt;Sheet2!$X$5,Sheet1!P90&lt;Sheet2!$Y$5,Sheet1!Q90&lt;Sheet2!$Z$5),IF(Sheet1!R90+Sheet2!$AB$4&gt;=Sheet2!$AA$4,Sheet2!$W$5,IF(AND(Sheet1!O90&lt;Sheet2!$X$4,Sheet1!P90&lt;Sheet2!$Y$4,Sheet1!Q90&lt;Sheet2!$Z$4),Sheet2!$W$4,Sheet2!$W$5)),Sheet2!$W$6)),Sheet2!$W$7)),"超出《标准包裹》尺寸"))</f>
        <v>标准包裹</v>
      </c>
      <c r="T90" s="69">
        <f>H90*1.38-N90-M90</f>
        <v>8.6052</v>
      </c>
      <c r="Y90" s="76"/>
    </row>
    <row r="91" spans="1:25">
      <c r="A91" s="46"/>
      <c r="B91" s="47"/>
      <c r="C91" s="45"/>
      <c r="D91" s="39">
        <v>0</v>
      </c>
      <c r="E91" s="52">
        <f t="shared" si="21"/>
        <v>9</v>
      </c>
      <c r="F91" s="53" t="s">
        <v>39</v>
      </c>
      <c r="G91" s="52">
        <v>0</v>
      </c>
      <c r="H91" s="52">
        <f t="shared" si="23"/>
        <v>51</v>
      </c>
      <c r="I91" s="52" t="s">
        <v>30</v>
      </c>
      <c r="J91" s="52">
        <f>IF(OR(C91=Sheet2!$A$10),0,L91*0.2)</f>
        <v>0</v>
      </c>
      <c r="K91" s="52">
        <f t="shared" si="24"/>
        <v>51</v>
      </c>
      <c r="L91" s="59">
        <v>60</v>
      </c>
      <c r="M91" s="52">
        <f>R91*$B$1</f>
        <v>7.6</v>
      </c>
      <c r="N91" s="24">
        <v>8</v>
      </c>
      <c r="O91" s="64"/>
      <c r="P91" s="64"/>
      <c r="Q91" s="64"/>
      <c r="R91" s="24">
        <v>200</v>
      </c>
      <c r="S91" s="70"/>
      <c r="T91" s="69">
        <f>H91*0.44-N91-M91</f>
        <v>6.84</v>
      </c>
      <c r="Y91" s="76"/>
    </row>
    <row r="92" ht="15" customHeight="1" spans="1:25">
      <c r="A92" s="77"/>
      <c r="B92" s="44"/>
      <c r="C92" s="45" t="s">
        <v>29</v>
      </c>
      <c r="D92" s="39">
        <f>IF(S92=Sheet2!$W$4,INDEX(Sheet2!$J$5:$Q$5,1,MATCH(Sheet1!C92,Sheet2!$J$3:$Q$3,0)),IF(S92=Sheet2!$W$5,INDEX(Sheet2!$J$6:$Q$8,MATCH(Sheet1!R92,Sheet2!$H$6:$H$8,1),MATCH(Sheet1!C92,Sheet2!$J$3:$Q$3,0)),IF(S92=Sheet2!$W$6,INDEX(Sheet2!$J$9:$Q$9,1,MATCH(Sheet1!C92,Sheet2!$J$3:$Q$3,0)),IF(S92=Sheet2!$W$7,INDEX(Sheet2!$J$10:$Q$24,MATCH(Sheet1!R92,Sheet2!$H$10:$H$24,1),MATCH(Sheet1!C92,Sheet2!$J$3:$Q$3,0)),"ERR COUNTRY!"))))</f>
        <v>2.77</v>
      </c>
      <c r="E92" s="52">
        <f t="shared" si="21"/>
        <v>1.7985</v>
      </c>
      <c r="F92" s="53" t="s">
        <v>30</v>
      </c>
      <c r="G92" s="52">
        <f t="shared" ref="G92:G99" si="26">L92-L92/(1+20%)</f>
        <v>1.99833333333333</v>
      </c>
      <c r="H92" s="52">
        <f t="shared" si="23"/>
        <v>3.02516666666667</v>
      </c>
      <c r="I92" s="52" t="s">
        <v>30</v>
      </c>
      <c r="J92" s="52">
        <f>IF(OR(C92=Sheet2!$A$10),0,L92*0.2)</f>
        <v>2.398</v>
      </c>
      <c r="K92" s="52">
        <f t="shared" si="24"/>
        <v>5.42316666666667</v>
      </c>
      <c r="L92" s="58">
        <v>11.99</v>
      </c>
      <c r="M92" s="52">
        <f>R92*$B$1</f>
        <v>7.6</v>
      </c>
      <c r="N92" s="24">
        <v>8</v>
      </c>
      <c r="O92" s="24">
        <v>24</v>
      </c>
      <c r="P92" s="24">
        <v>22</v>
      </c>
      <c r="Q92" s="24">
        <v>5</v>
      </c>
      <c r="R92" s="24">
        <v>200</v>
      </c>
      <c r="S92" s="26" t="str">
        <f>IF(Sheet1!R92+Sheet2!$AB$7&gt;=Sheet2!$AA$7,"超出《标准包裹》重量",IF(AND(Sheet1!O92&lt;Sheet2!$X$7,Sheet1!P92&lt;Sheet2!$Y$7,Sheet1!Q92&lt;Sheet2!$Z$7),IF(Sheet1!R92+Sheet2!$AB$6&gt;=Sheet2!$AA$6,Sheet2!$W$7,IF(AND(Sheet1!O92&lt;Sheet2!$X$6,Sheet1!P92&lt;Sheet2!$Y$6,Sheet1!Q92&lt;Sheet2!$Z$6),IF(Sheet1!R92+Sheet2!$AB$5&gt;=Sheet2!$AA$5,Sheet2!$W$6,IF(AND(Sheet1!O92&lt;Sheet2!$X$5,Sheet1!P92&lt;Sheet2!$Y$5,Sheet1!Q92&lt;Sheet2!$Z$5),IF(Sheet1!R92+Sheet2!$AB$4&gt;=Sheet2!$AA$4,Sheet2!$W$5,IF(AND(Sheet1!O92&lt;Sheet2!$X$4,Sheet1!P92&lt;Sheet2!$Y$4,Sheet1!Q92&lt;Sheet2!$Z$4),Sheet2!$W$4,Sheet2!$W$5)),Sheet2!$W$6)),Sheet2!$W$7)),"超出《标准包裹》尺寸"))</f>
        <v>标准包裹</v>
      </c>
      <c r="T92" s="69">
        <f>H92*8.3-N92-M92</f>
        <v>9.50888333333334</v>
      </c>
      <c r="W92" s="74"/>
      <c r="X92" s="74"/>
      <c r="Y92" s="76"/>
    </row>
    <row r="93" ht="15" customHeight="1" spans="1:25">
      <c r="A93" s="46"/>
      <c r="B93" s="47"/>
      <c r="C93" s="45" t="s">
        <v>31</v>
      </c>
      <c r="D93" s="39">
        <f>IF(S93=Sheet2!$W$4,INDEX(Sheet2!$J$5:$Q$5,1,MATCH(Sheet1!C93,Sheet2!$J$3:$Q$3,0)),IF(S93=Sheet2!$W$5,INDEX(Sheet2!$J$6:$Q$8,MATCH(Sheet1!R93,Sheet2!$H$6:$H$8,1),MATCH(Sheet1!C93,Sheet2!$J$3:$Q$3,0)),IF(S93=Sheet2!$W$6,INDEX(Sheet2!$J$9:$Q$9,1,MATCH(Sheet1!C93,Sheet2!$J$3:$Q$3,0)),IF(S93=Sheet2!$W$7,INDEX(Sheet2!$J$10:$Q$24,MATCH(Sheet1!R93,Sheet2!$H$10:$H$24,1),MATCH(Sheet1!C93,Sheet2!$J$3:$Q$3,0)),"ERR COUNTRY!"))))</f>
        <v>3.73</v>
      </c>
      <c r="E93" s="52">
        <f t="shared" si="21"/>
        <v>2.0985</v>
      </c>
      <c r="F93" s="53" t="s">
        <v>30</v>
      </c>
      <c r="G93" s="52">
        <f t="shared" si="26"/>
        <v>2.33166666666667</v>
      </c>
      <c r="H93" s="52">
        <f t="shared" si="23"/>
        <v>3.03183333333333</v>
      </c>
      <c r="I93" s="52" t="s">
        <v>30</v>
      </c>
      <c r="J93" s="52">
        <f>IF(OR(C93=Sheet2!$A$10),0,L93*0.2)</f>
        <v>2.798</v>
      </c>
      <c r="K93" s="52">
        <f t="shared" si="24"/>
        <v>5.82983333333333</v>
      </c>
      <c r="L93" s="58">
        <v>13.99</v>
      </c>
      <c r="M93" s="52">
        <f>R93*$B$1</f>
        <v>7.6</v>
      </c>
      <c r="N93" s="24">
        <v>8</v>
      </c>
      <c r="O93" s="24">
        <v>24</v>
      </c>
      <c r="P93" s="24">
        <v>22</v>
      </c>
      <c r="Q93" s="24">
        <v>5</v>
      </c>
      <c r="R93" s="24">
        <v>200</v>
      </c>
      <c r="S93" s="26" t="str">
        <f>IF(Sheet1!R93+Sheet2!$AB$7&gt;=Sheet2!$AA$7,"超出《标准包裹》重量",IF(AND(Sheet1!O93&lt;Sheet2!$X$7,Sheet1!P93&lt;Sheet2!$Y$7,Sheet1!Q93&lt;Sheet2!$Z$7),IF(Sheet1!R93+Sheet2!$AB$6&gt;=Sheet2!$AA$6,Sheet2!$W$7,IF(AND(Sheet1!O93&lt;Sheet2!$X$6,Sheet1!P93&lt;Sheet2!$Y$6,Sheet1!Q93&lt;Sheet2!$Z$6),IF(Sheet1!R93+Sheet2!$AB$5&gt;=Sheet2!$AA$5,Sheet2!$W$6,IF(AND(Sheet1!O93&lt;Sheet2!$X$5,Sheet1!P93&lt;Sheet2!$Y$5,Sheet1!Q93&lt;Sheet2!$Z$5),IF(Sheet1!R93+Sheet2!$AB$4&gt;=Sheet2!$AA$4,Sheet2!$W$5,IF(AND(Sheet1!O93&lt;Sheet2!$X$4,Sheet1!P93&lt;Sheet2!$Y$4,Sheet1!Q93&lt;Sheet2!$Z$4),Sheet2!$W$4,Sheet2!$W$5)),Sheet2!$W$6)),Sheet2!$W$7)),"超出《标准包裹》尺寸"))</f>
        <v>标准包裹</v>
      </c>
      <c r="T93" s="69">
        <f t="shared" ref="T93:T97" si="27">H93*7.1-N93-M93</f>
        <v>5.92601666666666</v>
      </c>
      <c r="X93" s="74"/>
      <c r="Y93" s="76"/>
    </row>
    <row r="94" ht="15" customHeight="1" spans="1:25">
      <c r="A94" s="46"/>
      <c r="B94" s="47"/>
      <c r="C94" s="45" t="s">
        <v>32</v>
      </c>
      <c r="D94" s="39">
        <f>IF(S94=Sheet2!$W$4,INDEX(Sheet2!$J$5:$Q$5,1,MATCH(Sheet1!C94,Sheet2!$J$3:$Q$3,0)),IF(S94=Sheet2!$W$5,INDEX(Sheet2!$J$6:$Q$8,MATCH(Sheet1!R94,Sheet2!$H$6:$H$8,1),MATCH(Sheet1!C94,Sheet2!$J$3:$Q$3,0)),IF(S94=Sheet2!$W$6,INDEX(Sheet2!$J$9:$Q$9,1,MATCH(Sheet1!C94,Sheet2!$J$3:$Q$3,0)),IF(S94=Sheet2!$W$7,INDEX(Sheet2!$J$10:$Q$24,MATCH(Sheet1!R94,Sheet2!$H$10:$H$24,1),MATCH(Sheet1!C94,Sheet2!$J$3:$Q$3,0)),"ERR COUNTRY!"))))</f>
        <v>5.27</v>
      </c>
      <c r="E94" s="52">
        <f t="shared" si="21"/>
        <v>2.6985</v>
      </c>
      <c r="F94" s="53" t="s">
        <v>30</v>
      </c>
      <c r="G94" s="52">
        <f t="shared" si="26"/>
        <v>2.99833333333333</v>
      </c>
      <c r="H94" s="52">
        <f t="shared" si="23"/>
        <v>3.42516666666667</v>
      </c>
      <c r="I94" s="52" t="s">
        <v>30</v>
      </c>
      <c r="J94" s="52">
        <f>IF(OR(C94=Sheet2!$A$10),0,L94*0.2)</f>
        <v>3.598</v>
      </c>
      <c r="K94" s="52">
        <f t="shared" si="24"/>
        <v>7.02316666666667</v>
      </c>
      <c r="L94" s="58">
        <v>17.99</v>
      </c>
      <c r="M94" s="52">
        <f>R94*$B$1</f>
        <v>7.6</v>
      </c>
      <c r="N94" s="24">
        <v>8</v>
      </c>
      <c r="O94" s="24">
        <v>24</v>
      </c>
      <c r="P94" s="24">
        <v>22</v>
      </c>
      <c r="Q94" s="24">
        <v>5</v>
      </c>
      <c r="R94" s="24">
        <v>200</v>
      </c>
      <c r="S94" s="26" t="str">
        <f>IF(Sheet1!R94+Sheet2!$AB$7&gt;=Sheet2!$AA$7,"超出《标准包裹》重量",IF(AND(Sheet1!O94&lt;Sheet2!$X$7,Sheet1!P94&lt;Sheet2!$Y$7,Sheet1!Q94&lt;Sheet2!$Z$7),IF(Sheet1!R94+Sheet2!$AB$6&gt;=Sheet2!$AA$6,Sheet2!$W$7,IF(AND(Sheet1!O94&lt;Sheet2!$X$6,Sheet1!P94&lt;Sheet2!$Y$6,Sheet1!Q94&lt;Sheet2!$Z$6),IF(Sheet1!R94+Sheet2!$AB$5&gt;=Sheet2!$AA$5,Sheet2!$W$6,IF(AND(Sheet1!O94&lt;Sheet2!$X$5,Sheet1!P94&lt;Sheet2!$Y$5,Sheet1!Q94&lt;Sheet2!$Z$5),IF(Sheet1!R94+Sheet2!$AB$4&gt;=Sheet2!$AA$4,Sheet2!$W$5,IF(AND(Sheet1!O94&lt;Sheet2!$X$4,Sheet1!P94&lt;Sheet2!$Y$4,Sheet1!Q94&lt;Sheet2!$Z$4),Sheet2!$W$4,Sheet2!$W$5)),Sheet2!$W$6)),Sheet2!$W$7)),"超出《标准包裹》尺寸"))</f>
        <v>标准包裹</v>
      </c>
      <c r="T94" s="69">
        <f t="shared" si="27"/>
        <v>8.71868333333333</v>
      </c>
      <c r="Y94" s="76"/>
    </row>
    <row r="95" ht="15" customHeight="1" spans="1:25">
      <c r="A95" s="46"/>
      <c r="B95" s="47"/>
      <c r="C95" s="45" t="s">
        <v>33</v>
      </c>
      <c r="D95" s="39">
        <f>IF(S95=Sheet2!$W$4,INDEX(Sheet2!$J$5:$Q$5,1,MATCH(Sheet1!C95,Sheet2!$J$3:$Q$3,0)),IF(S95=Sheet2!$W$5,INDEX(Sheet2!$J$6:$Q$8,MATCH(Sheet1!R95,Sheet2!$H$6:$H$8,1),MATCH(Sheet1!C95,Sheet2!$J$3:$Q$3,0)),IF(S95=Sheet2!$W$6,INDEX(Sheet2!$J$9:$Q$9,1,MATCH(Sheet1!C95,Sheet2!$J$3:$Q$3,0)),IF(S95=Sheet2!$W$7,INDEX(Sheet2!$J$10:$Q$24,MATCH(Sheet1!R95,Sheet2!$H$10:$H$24,1),MATCH(Sheet1!C95,Sheet2!$J$3:$Q$3,0)),"ERR COUNTRY!"))))</f>
        <v>4.82</v>
      </c>
      <c r="E95" s="52">
        <f t="shared" si="21"/>
        <v>2.3985</v>
      </c>
      <c r="F95" s="53" t="s">
        <v>30</v>
      </c>
      <c r="G95" s="52">
        <f t="shared" si="26"/>
        <v>2.665</v>
      </c>
      <c r="H95" s="52">
        <f t="shared" si="23"/>
        <v>2.9085</v>
      </c>
      <c r="I95" s="52" t="s">
        <v>30</v>
      </c>
      <c r="J95" s="52">
        <f>IF(OR(C95=Sheet2!$A$10),0,L95*0.2)</f>
        <v>3.198</v>
      </c>
      <c r="K95" s="52">
        <f t="shared" si="24"/>
        <v>6.1065</v>
      </c>
      <c r="L95" s="58">
        <v>15.99</v>
      </c>
      <c r="M95" s="52">
        <f>R95*$B$1</f>
        <v>7.6</v>
      </c>
      <c r="N95" s="24">
        <v>8</v>
      </c>
      <c r="O95" s="24">
        <v>24</v>
      </c>
      <c r="P95" s="24">
        <v>22</v>
      </c>
      <c r="Q95" s="24">
        <v>5</v>
      </c>
      <c r="R95" s="24">
        <v>200</v>
      </c>
      <c r="S95" s="26" t="str">
        <f>IF(Sheet1!R95+Sheet2!$AB$7&gt;=Sheet2!$AA$7,"超出《标准包裹》重量",IF(AND(Sheet1!O95&lt;Sheet2!$X$7,Sheet1!P95&lt;Sheet2!$Y$7,Sheet1!Q95&lt;Sheet2!$Z$7),IF(Sheet1!R95+Sheet2!$AB$6&gt;=Sheet2!$AA$6,Sheet2!$W$7,IF(AND(Sheet1!O95&lt;Sheet2!$X$6,Sheet1!P95&lt;Sheet2!$Y$6,Sheet1!Q95&lt;Sheet2!$Z$6),IF(Sheet1!R95+Sheet2!$AB$5&gt;=Sheet2!$AA$5,Sheet2!$W$6,IF(AND(Sheet1!O95&lt;Sheet2!$X$5,Sheet1!P95&lt;Sheet2!$Y$5,Sheet1!Q95&lt;Sheet2!$Z$5),IF(Sheet1!R95+Sheet2!$AB$4&gt;=Sheet2!$AA$4,Sheet2!$W$5,IF(AND(Sheet1!O95&lt;Sheet2!$X$4,Sheet1!P95&lt;Sheet2!$Y$4,Sheet1!Q95&lt;Sheet2!$Z$4),Sheet2!$W$4,Sheet2!$W$5)),Sheet2!$W$6)),Sheet2!$W$7)),"超出《标准包裹》尺寸"))</f>
        <v>标准包裹</v>
      </c>
      <c r="T95" s="69">
        <f t="shared" si="27"/>
        <v>5.05035</v>
      </c>
      <c r="W95" s="75"/>
      <c r="X95" s="75"/>
      <c r="Y95" s="76"/>
    </row>
    <row r="96" ht="15" customHeight="1" spans="1:25">
      <c r="A96" s="46"/>
      <c r="B96" s="47"/>
      <c r="C96" s="45" t="s">
        <v>34</v>
      </c>
      <c r="D96" s="39">
        <f>IF(S96=Sheet2!$W$4,INDEX(Sheet2!$J$5:$Q$5,1,MATCH(Sheet1!C96,Sheet2!$J$3:$Q$3,0)),IF(S96=Sheet2!$W$5,INDEX(Sheet2!$J$6:$Q$8,MATCH(Sheet1!R96,Sheet2!$H$6:$H$8,1),MATCH(Sheet1!C96,Sheet2!$J$3:$Q$3,0)),IF(S96=Sheet2!$W$6,INDEX(Sheet2!$J$9:$Q$9,1,MATCH(Sheet1!C96,Sheet2!$J$3:$Q$3,0)),IF(S96=Sheet2!$W$7,INDEX(Sheet2!$J$10:$Q$24,MATCH(Sheet1!R96,Sheet2!$H$10:$H$24,1),MATCH(Sheet1!C96,Sheet2!$J$3:$Q$3,0)),"ERR COUNTRY!"))))</f>
        <v>4.1</v>
      </c>
      <c r="E96" s="52">
        <f t="shared" si="21"/>
        <v>2.2485</v>
      </c>
      <c r="F96" s="53" t="s">
        <v>30</v>
      </c>
      <c r="G96" s="52">
        <f t="shared" si="26"/>
        <v>2.49833333333333</v>
      </c>
      <c r="H96" s="52">
        <f t="shared" si="23"/>
        <v>3.14516666666667</v>
      </c>
      <c r="I96" s="52" t="s">
        <v>30</v>
      </c>
      <c r="J96" s="52">
        <f>IF(OR(C96=Sheet2!$A$10),0,L96*0.2)</f>
        <v>2.998</v>
      </c>
      <c r="K96" s="52">
        <f t="shared" si="24"/>
        <v>6.14316666666667</v>
      </c>
      <c r="L96" s="58">
        <v>14.99</v>
      </c>
      <c r="M96" s="52">
        <f>R96*$B$1</f>
        <v>7.6</v>
      </c>
      <c r="N96" s="24">
        <v>8</v>
      </c>
      <c r="O96" s="24">
        <v>24</v>
      </c>
      <c r="P96" s="24">
        <v>22</v>
      </c>
      <c r="Q96" s="24">
        <v>5</v>
      </c>
      <c r="R96" s="24">
        <v>200</v>
      </c>
      <c r="S96" s="26" t="str">
        <f>IF(Sheet1!R96+Sheet2!$AB$7&gt;=Sheet2!$AA$7,"超出《标准包裹》重量",IF(AND(Sheet1!O96&lt;Sheet2!$X$7,Sheet1!P96&lt;Sheet2!$Y$7,Sheet1!Q96&lt;Sheet2!$Z$7),IF(Sheet1!R96+Sheet2!$AB$6&gt;=Sheet2!$AA$6,Sheet2!$W$7,IF(AND(Sheet1!O96&lt;Sheet2!$X$6,Sheet1!P96&lt;Sheet2!$Y$6,Sheet1!Q96&lt;Sheet2!$Z$6),IF(Sheet1!R96+Sheet2!$AB$5&gt;=Sheet2!$AA$5,Sheet2!$W$6,IF(AND(Sheet1!O96&lt;Sheet2!$X$5,Sheet1!P96&lt;Sheet2!$Y$5,Sheet1!Q96&lt;Sheet2!$Z$5),IF(Sheet1!R96+Sheet2!$AB$4&gt;=Sheet2!$AA$4,Sheet2!$W$5,IF(AND(Sheet1!O96&lt;Sheet2!$X$4,Sheet1!P96&lt;Sheet2!$Y$4,Sheet1!Q96&lt;Sheet2!$Z$4),Sheet2!$W$4,Sheet2!$W$5)),Sheet2!$W$6)),Sheet2!$W$7)),"超出《标准包裹》尺寸"))</f>
        <v>标准包裹</v>
      </c>
      <c r="T96" s="69">
        <f t="shared" si="27"/>
        <v>6.73068333333333</v>
      </c>
      <c r="Y96" s="76"/>
    </row>
    <row r="97" ht="15" customHeight="1" spans="1:25">
      <c r="A97" s="46"/>
      <c r="B97" s="47"/>
      <c r="C97" s="45" t="s">
        <v>35</v>
      </c>
      <c r="D97" s="39">
        <f>IF(S97=Sheet2!$W$4,INDEX(Sheet2!$J$5:$Q$5,1,MATCH(Sheet1!C97,Sheet2!$J$3:$Q$3,0)),IF(S97=Sheet2!$W$5,INDEX(Sheet2!$J$6:$Q$8,MATCH(Sheet1!R97,Sheet2!$H$6:$H$8,1),MATCH(Sheet1!C97,Sheet2!$J$3:$Q$3,0)),IF(S97=Sheet2!$W$6,INDEX(Sheet2!$J$9:$Q$9,1,MATCH(Sheet1!C97,Sheet2!$J$3:$Q$3,0)),IF(S97=Sheet2!$W$7,INDEX(Sheet2!$J$10:$Q$24,MATCH(Sheet1!R97,Sheet2!$H$10:$H$24,1),MATCH(Sheet1!C97,Sheet2!$J$3:$Q$3,0)),"ERR COUNTRY!"))))</f>
        <v>3.16</v>
      </c>
      <c r="E97" s="52">
        <f t="shared" si="21"/>
        <v>2.0985</v>
      </c>
      <c r="F97" s="53" t="s">
        <v>30</v>
      </c>
      <c r="G97" s="52">
        <f t="shared" si="26"/>
        <v>2.33166666666667</v>
      </c>
      <c r="H97" s="52">
        <f t="shared" si="23"/>
        <v>3.60183333333333</v>
      </c>
      <c r="I97" s="52" t="s">
        <v>30</v>
      </c>
      <c r="J97" s="52">
        <f>IF(OR(C97=Sheet2!$A$10),0,L97*0.2)</f>
        <v>2.798</v>
      </c>
      <c r="K97" s="52">
        <f t="shared" si="24"/>
        <v>6.39983333333333</v>
      </c>
      <c r="L97" s="58">
        <v>13.99</v>
      </c>
      <c r="M97" s="52">
        <f>R97*$B$1</f>
        <v>7.6</v>
      </c>
      <c r="N97" s="24">
        <v>8</v>
      </c>
      <c r="O97" s="24">
        <v>24</v>
      </c>
      <c r="P97" s="24">
        <v>22</v>
      </c>
      <c r="Q97" s="24">
        <v>5</v>
      </c>
      <c r="R97" s="24">
        <v>200</v>
      </c>
      <c r="S97" s="26" t="str">
        <f>IF(Sheet1!R97+Sheet2!$AB$7&gt;=Sheet2!$AA$7,"超出《标准包裹》重量",IF(AND(Sheet1!O97&lt;Sheet2!$X$7,Sheet1!P97&lt;Sheet2!$Y$7,Sheet1!Q97&lt;Sheet2!$Z$7),IF(Sheet1!R97+Sheet2!$AB$6&gt;=Sheet2!$AA$6,Sheet2!$W$7,IF(AND(Sheet1!O97&lt;Sheet2!$X$6,Sheet1!P97&lt;Sheet2!$Y$6,Sheet1!Q97&lt;Sheet2!$Z$6),IF(Sheet1!R97+Sheet2!$AB$5&gt;=Sheet2!$AA$5,Sheet2!$W$6,IF(AND(Sheet1!O97&lt;Sheet2!$X$5,Sheet1!P97&lt;Sheet2!$Y$5,Sheet1!Q97&lt;Sheet2!$Z$5),IF(Sheet1!R97+Sheet2!$AB$4&gt;=Sheet2!$AA$4,Sheet2!$W$5,IF(AND(Sheet1!O97&lt;Sheet2!$X$4,Sheet1!P97&lt;Sheet2!$Y$4,Sheet1!Q97&lt;Sheet2!$Z$4),Sheet2!$W$4,Sheet2!$W$5)),Sheet2!$W$6)),Sheet2!$W$7)),"超出《标准包裹》尺寸"))</f>
        <v>标准包裹</v>
      </c>
      <c r="T97" s="69">
        <f t="shared" si="27"/>
        <v>9.97301666666667</v>
      </c>
      <c r="Y97" s="76"/>
    </row>
    <row r="98" ht="15" customHeight="1" spans="1:25">
      <c r="A98" s="46"/>
      <c r="B98" s="47"/>
      <c r="C98" s="45" t="s">
        <v>36</v>
      </c>
      <c r="D98" s="39">
        <f>IF(S98=Sheet2!$W$4,INDEX(Sheet2!$J$5:$Q$5,1,MATCH(Sheet1!C98,Sheet2!$J$3:$Q$3,0)),IF(S98=Sheet2!$W$5,INDEX(Sheet2!$J$6:$Q$8,MATCH(Sheet1!R98,Sheet2!$H$6:$H$8,1),MATCH(Sheet1!C98,Sheet2!$J$3:$Q$3,0)),IF(S98=Sheet2!$W$6,INDEX(Sheet2!$J$9:$Q$9,1,MATCH(Sheet1!C98,Sheet2!$J$3:$Q$3,0)),IF(S98=Sheet2!$W$7,INDEX(Sheet2!$J$10:$Q$24,MATCH(Sheet1!R98,Sheet2!$H$10:$H$24,1),MATCH(Sheet1!C98,Sheet2!$J$3:$Q$3,0)),"ERR COUNTRY!"))))</f>
        <v>42.91</v>
      </c>
      <c r="E98" s="52">
        <f t="shared" si="21"/>
        <v>21.3</v>
      </c>
      <c r="F98" s="53" t="s">
        <v>30</v>
      </c>
      <c r="G98" s="52">
        <f t="shared" si="26"/>
        <v>23.6666666666667</v>
      </c>
      <c r="H98" s="52">
        <f t="shared" si="23"/>
        <v>25.7233333333333</v>
      </c>
      <c r="I98" s="52" t="s">
        <v>30</v>
      </c>
      <c r="J98" s="52">
        <f>IF(OR(C98=Sheet2!$A$10),0,L98*0.2)</f>
        <v>28.4</v>
      </c>
      <c r="K98" s="52">
        <f t="shared" si="24"/>
        <v>54.1233333333333</v>
      </c>
      <c r="L98" s="58">
        <v>142</v>
      </c>
      <c r="M98" s="52">
        <f>R98*$B$1</f>
        <v>7.6</v>
      </c>
      <c r="N98" s="24">
        <v>8</v>
      </c>
      <c r="O98" s="24">
        <v>24</v>
      </c>
      <c r="P98" s="24">
        <v>22</v>
      </c>
      <c r="Q98" s="24">
        <v>5</v>
      </c>
      <c r="R98" s="24">
        <v>200</v>
      </c>
      <c r="S98" s="26" t="str">
        <f>IF(Sheet1!R98+Sheet2!$AB$7&gt;=Sheet2!$AA$7,"超出《标准包裹》重量",IF(AND(Sheet1!O98&lt;Sheet2!$X$7,Sheet1!P98&lt;Sheet2!$Y$7,Sheet1!Q98&lt;Sheet2!$Z$7),IF(Sheet1!R98+Sheet2!$AB$6&gt;=Sheet2!$AA$6,Sheet2!$W$7,IF(AND(Sheet1!O98&lt;Sheet2!$X$6,Sheet1!P98&lt;Sheet2!$Y$6,Sheet1!Q98&lt;Sheet2!$Z$6),IF(Sheet1!R98+Sheet2!$AB$5&gt;=Sheet2!$AA$5,Sheet2!$W$6,IF(AND(Sheet1!O98&lt;Sheet2!$X$5,Sheet1!P98&lt;Sheet2!$Y$5,Sheet1!Q98&lt;Sheet2!$Z$5),IF(Sheet1!R98+Sheet2!$AB$4&gt;=Sheet2!$AA$4,Sheet2!$W$5,IF(AND(Sheet1!O98&lt;Sheet2!$X$4,Sheet1!P98&lt;Sheet2!$Y$4,Sheet1!Q98&lt;Sheet2!$Z$4),Sheet2!$W$4,Sheet2!$W$5)),Sheet2!$W$6)),Sheet2!$W$7)),"超出《标准包裹》尺寸"))</f>
        <v>标准包裹</v>
      </c>
      <c r="T98" s="69">
        <f>H98*0.63-N98-M98</f>
        <v>0.605700000000008</v>
      </c>
      <c r="Y98" s="76"/>
    </row>
    <row r="99" ht="15" customHeight="1" spans="1:25">
      <c r="A99" s="46"/>
      <c r="B99" s="47"/>
      <c r="C99" s="45" t="s">
        <v>37</v>
      </c>
      <c r="D99" s="39">
        <f>IF(S99=Sheet2!$W$4,INDEX(Sheet2!$J$5:$Q$5,1,MATCH(Sheet1!C99,Sheet2!$J$3:$Q$3,0)),IF(S99=Sheet2!$W$5,INDEX(Sheet2!$J$6:$Q$8,MATCH(Sheet1!R99,Sheet2!$H$6:$H$8,1),MATCH(Sheet1!C99,Sheet2!$J$3:$Q$3,0)),IF(S99=Sheet2!$W$6,INDEX(Sheet2!$J$9:$Q$9,1,MATCH(Sheet1!C99,Sheet2!$J$3:$Q$3,0)),IF(S99=Sheet2!$W$7,INDEX(Sheet2!$J$10:$Q$24,MATCH(Sheet1!R99,Sheet2!$H$10:$H$24,1),MATCH(Sheet1!C99,Sheet2!$J$3:$Q$3,0)),"ERR COUNTRY!"))))</f>
        <v>5.66</v>
      </c>
      <c r="E99" s="52">
        <f t="shared" si="21"/>
        <v>7.2</v>
      </c>
      <c r="F99" s="53" t="s">
        <v>30</v>
      </c>
      <c r="G99" s="52">
        <f t="shared" si="26"/>
        <v>8</v>
      </c>
      <c r="H99" s="52">
        <f t="shared" si="23"/>
        <v>17.54</v>
      </c>
      <c r="I99" s="52" t="s">
        <v>30</v>
      </c>
      <c r="J99" s="52">
        <f>IF(OR(C99=Sheet2!$A$10),0,L99*0.2)</f>
        <v>9.6</v>
      </c>
      <c r="K99" s="52">
        <f t="shared" si="24"/>
        <v>27.14</v>
      </c>
      <c r="L99" s="58">
        <v>48</v>
      </c>
      <c r="M99" s="52">
        <f>R99*$B$1</f>
        <v>7.6</v>
      </c>
      <c r="N99" s="24">
        <v>8</v>
      </c>
      <c r="O99" s="24">
        <v>24</v>
      </c>
      <c r="P99" s="24">
        <v>22</v>
      </c>
      <c r="Q99" s="24">
        <v>5</v>
      </c>
      <c r="R99" s="24">
        <v>200</v>
      </c>
      <c r="S99" s="26" t="str">
        <f>IF(Sheet1!R99+Sheet2!$AB$7&gt;=Sheet2!$AA$7,"超出《标准包裹》重量",IF(AND(Sheet1!O99&lt;Sheet2!$X$7,Sheet1!P99&lt;Sheet2!$Y$7,Sheet1!Q99&lt;Sheet2!$Z$7),IF(Sheet1!R99+Sheet2!$AB$6&gt;=Sheet2!$AA$6,Sheet2!$W$7,IF(AND(Sheet1!O99&lt;Sheet2!$X$6,Sheet1!P99&lt;Sheet2!$Y$6,Sheet1!Q99&lt;Sheet2!$Z$6),IF(Sheet1!R99+Sheet2!$AB$5&gt;=Sheet2!$AA$5,Sheet2!$W$6,IF(AND(Sheet1!O99&lt;Sheet2!$X$5,Sheet1!P99&lt;Sheet2!$Y$5,Sheet1!Q99&lt;Sheet2!$Z$5),IF(Sheet1!R99+Sheet2!$AB$4&gt;=Sheet2!$AA$4,Sheet2!$W$5,IF(AND(Sheet1!O99&lt;Sheet2!$X$4,Sheet1!P99&lt;Sheet2!$Y$4,Sheet1!Q99&lt;Sheet2!$Z$4),Sheet2!$W$4,Sheet2!$W$5)),Sheet2!$W$6)),Sheet2!$W$7)),"超出《标准包裹》尺寸"))</f>
        <v>标准包裹</v>
      </c>
      <c r="T99" s="69">
        <f>H99*1.38-N99-M99</f>
        <v>8.6052</v>
      </c>
      <c r="Y99" s="76"/>
    </row>
    <row r="100" spans="1:25">
      <c r="A100" s="46"/>
      <c r="B100" s="47"/>
      <c r="C100" s="45"/>
      <c r="D100" s="39">
        <v>0</v>
      </c>
      <c r="E100" s="52">
        <f t="shared" si="21"/>
        <v>9</v>
      </c>
      <c r="F100" s="53" t="s">
        <v>39</v>
      </c>
      <c r="G100" s="52">
        <v>0</v>
      </c>
      <c r="H100" s="52">
        <f t="shared" si="23"/>
        <v>51</v>
      </c>
      <c r="I100" s="52" t="s">
        <v>30</v>
      </c>
      <c r="J100" s="52">
        <f>IF(OR(C100=Sheet2!$A$10),0,L100*0.2)</f>
        <v>0</v>
      </c>
      <c r="K100" s="52">
        <f t="shared" si="24"/>
        <v>51</v>
      </c>
      <c r="L100" s="59">
        <v>60</v>
      </c>
      <c r="M100" s="52">
        <f>R100*$B$1</f>
        <v>7.6</v>
      </c>
      <c r="N100" s="24">
        <v>8</v>
      </c>
      <c r="O100" s="64"/>
      <c r="P100" s="64"/>
      <c r="Q100" s="64"/>
      <c r="R100" s="24">
        <v>200</v>
      </c>
      <c r="S100" s="70"/>
      <c r="T100" s="69">
        <f>H100*0.44-N100-M100</f>
        <v>6.84</v>
      </c>
      <c r="Y100" s="76"/>
    </row>
    <row r="101" ht="15" customHeight="1" spans="1:25">
      <c r="A101" s="77"/>
      <c r="B101" s="44"/>
      <c r="C101" s="45" t="s">
        <v>29</v>
      </c>
      <c r="D101" s="39">
        <f>IF(S101=Sheet2!$W$4,INDEX(Sheet2!$J$5:$Q$5,1,MATCH(Sheet1!C101,Sheet2!$J$3:$Q$3,0)),IF(S101=Sheet2!$W$5,INDEX(Sheet2!$J$6:$Q$8,MATCH(Sheet1!R101,Sheet2!$H$6:$H$8,1),MATCH(Sheet1!C101,Sheet2!$J$3:$Q$3,0)),IF(S101=Sheet2!$W$6,INDEX(Sheet2!$J$9:$Q$9,1,MATCH(Sheet1!C101,Sheet2!$J$3:$Q$3,0)),IF(S101=Sheet2!$W$7,INDEX(Sheet2!$J$10:$Q$24,MATCH(Sheet1!R101,Sheet2!$H$10:$H$24,1),MATCH(Sheet1!C101,Sheet2!$J$3:$Q$3,0)),"ERR COUNTRY!"))))</f>
        <v>2.77</v>
      </c>
      <c r="E101" s="52">
        <f t="shared" si="21"/>
        <v>1.7985</v>
      </c>
      <c r="F101" s="53" t="s">
        <v>30</v>
      </c>
      <c r="G101" s="52">
        <f t="shared" ref="G101:G108" si="28">L101-L101/(1+20%)</f>
        <v>1.99833333333333</v>
      </c>
      <c r="H101" s="52">
        <f t="shared" si="23"/>
        <v>3.02516666666667</v>
      </c>
      <c r="I101" s="52" t="s">
        <v>30</v>
      </c>
      <c r="J101" s="52">
        <f>IF(OR(C101=Sheet2!$A$10),0,L101*0.2)</f>
        <v>2.398</v>
      </c>
      <c r="K101" s="52">
        <f t="shared" si="24"/>
        <v>5.42316666666667</v>
      </c>
      <c r="L101" s="58">
        <v>11.99</v>
      </c>
      <c r="M101" s="52">
        <f>R101*$B$1</f>
        <v>7.6</v>
      </c>
      <c r="N101" s="24">
        <v>8</v>
      </c>
      <c r="O101" s="24">
        <v>24</v>
      </c>
      <c r="P101" s="24">
        <v>22</v>
      </c>
      <c r="Q101" s="24">
        <v>5</v>
      </c>
      <c r="R101" s="24">
        <v>200</v>
      </c>
      <c r="S101" s="26" t="str">
        <f>IF(Sheet1!R101+Sheet2!$AB$7&gt;=Sheet2!$AA$7,"超出《标准包裹》重量",IF(AND(Sheet1!O101&lt;Sheet2!$X$7,Sheet1!P101&lt;Sheet2!$Y$7,Sheet1!Q101&lt;Sheet2!$Z$7),IF(Sheet1!R101+Sheet2!$AB$6&gt;=Sheet2!$AA$6,Sheet2!$W$7,IF(AND(Sheet1!O101&lt;Sheet2!$X$6,Sheet1!P101&lt;Sheet2!$Y$6,Sheet1!Q101&lt;Sheet2!$Z$6),IF(Sheet1!R101+Sheet2!$AB$5&gt;=Sheet2!$AA$5,Sheet2!$W$6,IF(AND(Sheet1!O101&lt;Sheet2!$X$5,Sheet1!P101&lt;Sheet2!$Y$5,Sheet1!Q101&lt;Sheet2!$Z$5),IF(Sheet1!R101+Sheet2!$AB$4&gt;=Sheet2!$AA$4,Sheet2!$W$5,IF(AND(Sheet1!O101&lt;Sheet2!$X$4,Sheet1!P101&lt;Sheet2!$Y$4,Sheet1!Q101&lt;Sheet2!$Z$4),Sheet2!$W$4,Sheet2!$W$5)),Sheet2!$W$6)),Sheet2!$W$7)),"超出《标准包裹》尺寸"))</f>
        <v>标准包裹</v>
      </c>
      <c r="T101" s="69">
        <f>H101*8.3-N101-M101</f>
        <v>9.50888333333334</v>
      </c>
      <c r="W101" s="74"/>
      <c r="X101" s="74"/>
      <c r="Y101" s="76"/>
    </row>
    <row r="102" ht="15" customHeight="1" spans="1:25">
      <c r="A102" s="46"/>
      <c r="B102" s="47"/>
      <c r="C102" s="45" t="s">
        <v>31</v>
      </c>
      <c r="D102" s="39">
        <f>IF(S102=Sheet2!$W$4,INDEX(Sheet2!$J$5:$Q$5,1,MATCH(Sheet1!C102,Sheet2!$J$3:$Q$3,0)),IF(S102=Sheet2!$W$5,INDEX(Sheet2!$J$6:$Q$8,MATCH(Sheet1!R102,Sheet2!$H$6:$H$8,1),MATCH(Sheet1!C102,Sheet2!$J$3:$Q$3,0)),IF(S102=Sheet2!$W$6,INDEX(Sheet2!$J$9:$Q$9,1,MATCH(Sheet1!C102,Sheet2!$J$3:$Q$3,0)),IF(S102=Sheet2!$W$7,INDEX(Sheet2!$J$10:$Q$24,MATCH(Sheet1!R102,Sheet2!$H$10:$H$24,1),MATCH(Sheet1!C102,Sheet2!$J$3:$Q$3,0)),"ERR COUNTRY!"))))</f>
        <v>3.73</v>
      </c>
      <c r="E102" s="52">
        <f t="shared" si="21"/>
        <v>2.0985</v>
      </c>
      <c r="F102" s="53" t="s">
        <v>30</v>
      </c>
      <c r="G102" s="52">
        <f t="shared" si="28"/>
        <v>2.33166666666667</v>
      </c>
      <c r="H102" s="52">
        <f t="shared" si="23"/>
        <v>3.03183333333333</v>
      </c>
      <c r="I102" s="52" t="s">
        <v>30</v>
      </c>
      <c r="J102" s="52">
        <f>IF(OR(C102=Sheet2!$A$10),0,L102*0.2)</f>
        <v>2.798</v>
      </c>
      <c r="K102" s="52">
        <f t="shared" si="24"/>
        <v>5.82983333333333</v>
      </c>
      <c r="L102" s="58">
        <v>13.99</v>
      </c>
      <c r="M102" s="52">
        <f>R102*$B$1</f>
        <v>7.6</v>
      </c>
      <c r="N102" s="24">
        <v>8</v>
      </c>
      <c r="O102" s="24">
        <v>24</v>
      </c>
      <c r="P102" s="24">
        <v>22</v>
      </c>
      <c r="Q102" s="24">
        <v>5</v>
      </c>
      <c r="R102" s="24">
        <v>200</v>
      </c>
      <c r="S102" s="26" t="str">
        <f>IF(Sheet1!R102+Sheet2!$AB$7&gt;=Sheet2!$AA$7,"超出《标准包裹》重量",IF(AND(Sheet1!O102&lt;Sheet2!$X$7,Sheet1!P102&lt;Sheet2!$Y$7,Sheet1!Q102&lt;Sheet2!$Z$7),IF(Sheet1!R102+Sheet2!$AB$6&gt;=Sheet2!$AA$6,Sheet2!$W$7,IF(AND(Sheet1!O102&lt;Sheet2!$X$6,Sheet1!P102&lt;Sheet2!$Y$6,Sheet1!Q102&lt;Sheet2!$Z$6),IF(Sheet1!R102+Sheet2!$AB$5&gt;=Sheet2!$AA$5,Sheet2!$W$6,IF(AND(Sheet1!O102&lt;Sheet2!$X$5,Sheet1!P102&lt;Sheet2!$Y$5,Sheet1!Q102&lt;Sheet2!$Z$5),IF(Sheet1!R102+Sheet2!$AB$4&gt;=Sheet2!$AA$4,Sheet2!$W$5,IF(AND(Sheet1!O102&lt;Sheet2!$X$4,Sheet1!P102&lt;Sheet2!$Y$4,Sheet1!Q102&lt;Sheet2!$Z$4),Sheet2!$W$4,Sheet2!$W$5)),Sheet2!$W$6)),Sheet2!$W$7)),"超出《标准包裹》尺寸"))</f>
        <v>标准包裹</v>
      </c>
      <c r="T102" s="69">
        <f t="shared" ref="T102:T106" si="29">H102*7.1-N102-M102</f>
        <v>5.92601666666666</v>
      </c>
      <c r="X102" s="74"/>
      <c r="Y102" s="76"/>
    </row>
    <row r="103" ht="15" customHeight="1" spans="1:25">
      <c r="A103" s="46"/>
      <c r="B103" s="47"/>
      <c r="C103" s="45" t="s">
        <v>32</v>
      </c>
      <c r="D103" s="39">
        <f>IF(S103=Sheet2!$W$4,INDEX(Sheet2!$J$5:$Q$5,1,MATCH(Sheet1!C103,Sheet2!$J$3:$Q$3,0)),IF(S103=Sheet2!$W$5,INDEX(Sheet2!$J$6:$Q$8,MATCH(Sheet1!R103,Sheet2!$H$6:$H$8,1),MATCH(Sheet1!C103,Sheet2!$J$3:$Q$3,0)),IF(S103=Sheet2!$W$6,INDEX(Sheet2!$J$9:$Q$9,1,MATCH(Sheet1!C103,Sheet2!$J$3:$Q$3,0)),IF(S103=Sheet2!$W$7,INDEX(Sheet2!$J$10:$Q$24,MATCH(Sheet1!R103,Sheet2!$H$10:$H$24,1),MATCH(Sheet1!C103,Sheet2!$J$3:$Q$3,0)),"ERR COUNTRY!"))))</f>
        <v>5.27</v>
      </c>
      <c r="E103" s="52">
        <f t="shared" si="21"/>
        <v>2.6985</v>
      </c>
      <c r="F103" s="53" t="s">
        <v>30</v>
      </c>
      <c r="G103" s="52">
        <f t="shared" si="28"/>
        <v>2.99833333333333</v>
      </c>
      <c r="H103" s="52">
        <f t="shared" si="23"/>
        <v>3.42516666666667</v>
      </c>
      <c r="I103" s="52" t="s">
        <v>30</v>
      </c>
      <c r="J103" s="52">
        <f>IF(OR(C103=Sheet2!$A$10),0,L103*0.2)</f>
        <v>3.598</v>
      </c>
      <c r="K103" s="52">
        <f t="shared" si="24"/>
        <v>7.02316666666667</v>
      </c>
      <c r="L103" s="58">
        <v>17.99</v>
      </c>
      <c r="M103" s="52">
        <f>R103*$B$1</f>
        <v>7.6</v>
      </c>
      <c r="N103" s="24">
        <v>8</v>
      </c>
      <c r="O103" s="24">
        <v>24</v>
      </c>
      <c r="P103" s="24">
        <v>22</v>
      </c>
      <c r="Q103" s="24">
        <v>5</v>
      </c>
      <c r="R103" s="24">
        <v>200</v>
      </c>
      <c r="S103" s="26" t="str">
        <f>IF(Sheet1!R103+Sheet2!$AB$7&gt;=Sheet2!$AA$7,"超出《标准包裹》重量",IF(AND(Sheet1!O103&lt;Sheet2!$X$7,Sheet1!P103&lt;Sheet2!$Y$7,Sheet1!Q103&lt;Sheet2!$Z$7),IF(Sheet1!R103+Sheet2!$AB$6&gt;=Sheet2!$AA$6,Sheet2!$W$7,IF(AND(Sheet1!O103&lt;Sheet2!$X$6,Sheet1!P103&lt;Sheet2!$Y$6,Sheet1!Q103&lt;Sheet2!$Z$6),IF(Sheet1!R103+Sheet2!$AB$5&gt;=Sheet2!$AA$5,Sheet2!$W$6,IF(AND(Sheet1!O103&lt;Sheet2!$X$5,Sheet1!P103&lt;Sheet2!$Y$5,Sheet1!Q103&lt;Sheet2!$Z$5),IF(Sheet1!R103+Sheet2!$AB$4&gt;=Sheet2!$AA$4,Sheet2!$W$5,IF(AND(Sheet1!O103&lt;Sheet2!$X$4,Sheet1!P103&lt;Sheet2!$Y$4,Sheet1!Q103&lt;Sheet2!$Z$4),Sheet2!$W$4,Sheet2!$W$5)),Sheet2!$W$6)),Sheet2!$W$7)),"超出《标准包裹》尺寸"))</f>
        <v>标准包裹</v>
      </c>
      <c r="T103" s="69">
        <f t="shared" si="29"/>
        <v>8.71868333333333</v>
      </c>
      <c r="Y103" s="76"/>
    </row>
    <row r="104" ht="15" customHeight="1" spans="1:25">
      <c r="A104" s="46"/>
      <c r="B104" s="47"/>
      <c r="C104" s="45" t="s">
        <v>33</v>
      </c>
      <c r="D104" s="39">
        <f>IF(S104=Sheet2!$W$4,INDEX(Sheet2!$J$5:$Q$5,1,MATCH(Sheet1!C104,Sheet2!$J$3:$Q$3,0)),IF(S104=Sheet2!$W$5,INDEX(Sheet2!$J$6:$Q$8,MATCH(Sheet1!R104,Sheet2!$H$6:$H$8,1),MATCH(Sheet1!C104,Sheet2!$J$3:$Q$3,0)),IF(S104=Sheet2!$W$6,INDEX(Sheet2!$J$9:$Q$9,1,MATCH(Sheet1!C104,Sheet2!$J$3:$Q$3,0)),IF(S104=Sheet2!$W$7,INDEX(Sheet2!$J$10:$Q$24,MATCH(Sheet1!R104,Sheet2!$H$10:$H$24,1),MATCH(Sheet1!C104,Sheet2!$J$3:$Q$3,0)),"ERR COUNTRY!"))))</f>
        <v>4.82</v>
      </c>
      <c r="E104" s="52">
        <f t="shared" si="21"/>
        <v>2.3985</v>
      </c>
      <c r="F104" s="53" t="s">
        <v>30</v>
      </c>
      <c r="G104" s="52">
        <f t="shared" si="28"/>
        <v>2.665</v>
      </c>
      <c r="H104" s="52">
        <f t="shared" si="23"/>
        <v>2.9085</v>
      </c>
      <c r="I104" s="52" t="s">
        <v>30</v>
      </c>
      <c r="J104" s="52">
        <f>IF(OR(C104=Sheet2!$A$10),0,L104*0.2)</f>
        <v>3.198</v>
      </c>
      <c r="K104" s="52">
        <f t="shared" si="24"/>
        <v>6.1065</v>
      </c>
      <c r="L104" s="58">
        <v>15.99</v>
      </c>
      <c r="M104" s="52">
        <f>R104*$B$1</f>
        <v>7.6</v>
      </c>
      <c r="N104" s="24">
        <v>8</v>
      </c>
      <c r="O104" s="24">
        <v>24</v>
      </c>
      <c r="P104" s="24">
        <v>22</v>
      </c>
      <c r="Q104" s="24">
        <v>5</v>
      </c>
      <c r="R104" s="24">
        <v>200</v>
      </c>
      <c r="S104" s="26" t="str">
        <f>IF(Sheet1!R104+Sheet2!$AB$7&gt;=Sheet2!$AA$7,"超出《标准包裹》重量",IF(AND(Sheet1!O104&lt;Sheet2!$X$7,Sheet1!P104&lt;Sheet2!$Y$7,Sheet1!Q104&lt;Sheet2!$Z$7),IF(Sheet1!R104+Sheet2!$AB$6&gt;=Sheet2!$AA$6,Sheet2!$W$7,IF(AND(Sheet1!O104&lt;Sheet2!$X$6,Sheet1!P104&lt;Sheet2!$Y$6,Sheet1!Q104&lt;Sheet2!$Z$6),IF(Sheet1!R104+Sheet2!$AB$5&gt;=Sheet2!$AA$5,Sheet2!$W$6,IF(AND(Sheet1!O104&lt;Sheet2!$X$5,Sheet1!P104&lt;Sheet2!$Y$5,Sheet1!Q104&lt;Sheet2!$Z$5),IF(Sheet1!R104+Sheet2!$AB$4&gt;=Sheet2!$AA$4,Sheet2!$W$5,IF(AND(Sheet1!O104&lt;Sheet2!$X$4,Sheet1!P104&lt;Sheet2!$Y$4,Sheet1!Q104&lt;Sheet2!$Z$4),Sheet2!$W$4,Sheet2!$W$5)),Sheet2!$W$6)),Sheet2!$W$7)),"超出《标准包裹》尺寸"))</f>
        <v>标准包裹</v>
      </c>
      <c r="T104" s="69">
        <f t="shared" si="29"/>
        <v>5.05035</v>
      </c>
      <c r="W104" s="75"/>
      <c r="X104" s="75"/>
      <c r="Y104" s="76"/>
    </row>
    <row r="105" ht="15" customHeight="1" spans="1:25">
      <c r="A105" s="46"/>
      <c r="B105" s="47"/>
      <c r="C105" s="45" t="s">
        <v>34</v>
      </c>
      <c r="D105" s="39">
        <f>IF(S105=Sheet2!$W$4,INDEX(Sheet2!$J$5:$Q$5,1,MATCH(Sheet1!C105,Sheet2!$J$3:$Q$3,0)),IF(S105=Sheet2!$W$5,INDEX(Sheet2!$J$6:$Q$8,MATCH(Sheet1!R105,Sheet2!$H$6:$H$8,1),MATCH(Sheet1!C105,Sheet2!$J$3:$Q$3,0)),IF(S105=Sheet2!$W$6,INDEX(Sheet2!$J$9:$Q$9,1,MATCH(Sheet1!C105,Sheet2!$J$3:$Q$3,0)),IF(S105=Sheet2!$W$7,INDEX(Sheet2!$J$10:$Q$24,MATCH(Sheet1!R105,Sheet2!$H$10:$H$24,1),MATCH(Sheet1!C105,Sheet2!$J$3:$Q$3,0)),"ERR COUNTRY!"))))</f>
        <v>4.1</v>
      </c>
      <c r="E105" s="52">
        <f t="shared" si="21"/>
        <v>2.2485</v>
      </c>
      <c r="F105" s="53" t="s">
        <v>30</v>
      </c>
      <c r="G105" s="52">
        <f t="shared" si="28"/>
        <v>2.49833333333333</v>
      </c>
      <c r="H105" s="52">
        <f t="shared" si="23"/>
        <v>3.14516666666667</v>
      </c>
      <c r="I105" s="52" t="s">
        <v>30</v>
      </c>
      <c r="J105" s="52">
        <f>IF(OR(C105=Sheet2!$A$10),0,L105*0.2)</f>
        <v>2.998</v>
      </c>
      <c r="K105" s="52">
        <f t="shared" si="24"/>
        <v>6.14316666666667</v>
      </c>
      <c r="L105" s="58">
        <v>14.99</v>
      </c>
      <c r="M105" s="52">
        <f>R105*$B$1</f>
        <v>7.6</v>
      </c>
      <c r="N105" s="24">
        <v>8</v>
      </c>
      <c r="O105" s="24">
        <v>24</v>
      </c>
      <c r="P105" s="24">
        <v>22</v>
      </c>
      <c r="Q105" s="24">
        <v>5</v>
      </c>
      <c r="R105" s="24">
        <v>200</v>
      </c>
      <c r="S105" s="26" t="str">
        <f>IF(Sheet1!R105+Sheet2!$AB$7&gt;=Sheet2!$AA$7,"超出《标准包裹》重量",IF(AND(Sheet1!O105&lt;Sheet2!$X$7,Sheet1!P105&lt;Sheet2!$Y$7,Sheet1!Q105&lt;Sheet2!$Z$7),IF(Sheet1!R105+Sheet2!$AB$6&gt;=Sheet2!$AA$6,Sheet2!$W$7,IF(AND(Sheet1!O105&lt;Sheet2!$X$6,Sheet1!P105&lt;Sheet2!$Y$6,Sheet1!Q105&lt;Sheet2!$Z$6),IF(Sheet1!R105+Sheet2!$AB$5&gt;=Sheet2!$AA$5,Sheet2!$W$6,IF(AND(Sheet1!O105&lt;Sheet2!$X$5,Sheet1!P105&lt;Sheet2!$Y$5,Sheet1!Q105&lt;Sheet2!$Z$5),IF(Sheet1!R105+Sheet2!$AB$4&gt;=Sheet2!$AA$4,Sheet2!$W$5,IF(AND(Sheet1!O105&lt;Sheet2!$X$4,Sheet1!P105&lt;Sheet2!$Y$4,Sheet1!Q105&lt;Sheet2!$Z$4),Sheet2!$W$4,Sheet2!$W$5)),Sheet2!$W$6)),Sheet2!$W$7)),"超出《标准包裹》尺寸"))</f>
        <v>标准包裹</v>
      </c>
      <c r="T105" s="69">
        <f t="shared" si="29"/>
        <v>6.73068333333333</v>
      </c>
      <c r="Y105" s="76"/>
    </row>
    <row r="106" ht="15" customHeight="1" spans="1:25">
      <c r="A106" s="46"/>
      <c r="B106" s="47"/>
      <c r="C106" s="45" t="s">
        <v>35</v>
      </c>
      <c r="D106" s="39">
        <f>IF(S106=Sheet2!$W$4,INDEX(Sheet2!$J$5:$Q$5,1,MATCH(Sheet1!C106,Sheet2!$J$3:$Q$3,0)),IF(S106=Sheet2!$W$5,INDEX(Sheet2!$J$6:$Q$8,MATCH(Sheet1!R106,Sheet2!$H$6:$H$8,1),MATCH(Sheet1!C106,Sheet2!$J$3:$Q$3,0)),IF(S106=Sheet2!$W$6,INDEX(Sheet2!$J$9:$Q$9,1,MATCH(Sheet1!C106,Sheet2!$J$3:$Q$3,0)),IF(S106=Sheet2!$W$7,INDEX(Sheet2!$J$10:$Q$24,MATCH(Sheet1!R106,Sheet2!$H$10:$H$24,1),MATCH(Sheet1!C106,Sheet2!$J$3:$Q$3,0)),"ERR COUNTRY!"))))</f>
        <v>3.16</v>
      </c>
      <c r="E106" s="52">
        <f t="shared" si="21"/>
        <v>2.0985</v>
      </c>
      <c r="F106" s="53" t="s">
        <v>30</v>
      </c>
      <c r="G106" s="52">
        <f t="shared" si="28"/>
        <v>2.33166666666667</v>
      </c>
      <c r="H106" s="52">
        <f t="shared" si="23"/>
        <v>3.60183333333333</v>
      </c>
      <c r="I106" s="52" t="s">
        <v>30</v>
      </c>
      <c r="J106" s="52">
        <f>IF(OR(C106=Sheet2!$A$10),0,L106*0.2)</f>
        <v>2.798</v>
      </c>
      <c r="K106" s="52">
        <f t="shared" si="24"/>
        <v>6.39983333333333</v>
      </c>
      <c r="L106" s="58">
        <v>13.99</v>
      </c>
      <c r="M106" s="52">
        <f>R106*$B$1</f>
        <v>7.6</v>
      </c>
      <c r="N106" s="24">
        <v>8</v>
      </c>
      <c r="O106" s="24">
        <v>24</v>
      </c>
      <c r="P106" s="24">
        <v>22</v>
      </c>
      <c r="Q106" s="24">
        <v>5</v>
      </c>
      <c r="R106" s="24">
        <v>200</v>
      </c>
      <c r="S106" s="26" t="str">
        <f>IF(Sheet1!R106+Sheet2!$AB$7&gt;=Sheet2!$AA$7,"超出《标准包裹》重量",IF(AND(Sheet1!O106&lt;Sheet2!$X$7,Sheet1!P106&lt;Sheet2!$Y$7,Sheet1!Q106&lt;Sheet2!$Z$7),IF(Sheet1!R106+Sheet2!$AB$6&gt;=Sheet2!$AA$6,Sheet2!$W$7,IF(AND(Sheet1!O106&lt;Sheet2!$X$6,Sheet1!P106&lt;Sheet2!$Y$6,Sheet1!Q106&lt;Sheet2!$Z$6),IF(Sheet1!R106+Sheet2!$AB$5&gt;=Sheet2!$AA$5,Sheet2!$W$6,IF(AND(Sheet1!O106&lt;Sheet2!$X$5,Sheet1!P106&lt;Sheet2!$Y$5,Sheet1!Q106&lt;Sheet2!$Z$5),IF(Sheet1!R106+Sheet2!$AB$4&gt;=Sheet2!$AA$4,Sheet2!$W$5,IF(AND(Sheet1!O106&lt;Sheet2!$X$4,Sheet1!P106&lt;Sheet2!$Y$4,Sheet1!Q106&lt;Sheet2!$Z$4),Sheet2!$W$4,Sheet2!$W$5)),Sheet2!$W$6)),Sheet2!$W$7)),"超出《标准包裹》尺寸"))</f>
        <v>标准包裹</v>
      </c>
      <c r="T106" s="69">
        <f t="shared" si="29"/>
        <v>9.97301666666667</v>
      </c>
      <c r="Y106" s="76"/>
    </row>
    <row r="107" ht="15" customHeight="1" spans="1:25">
      <c r="A107" s="46"/>
      <c r="B107" s="47"/>
      <c r="C107" s="45" t="s">
        <v>36</v>
      </c>
      <c r="D107" s="39">
        <f>IF(S107=Sheet2!$W$4,INDEX(Sheet2!$J$5:$Q$5,1,MATCH(Sheet1!C107,Sheet2!$J$3:$Q$3,0)),IF(S107=Sheet2!$W$5,INDEX(Sheet2!$J$6:$Q$8,MATCH(Sheet1!R107,Sheet2!$H$6:$H$8,1),MATCH(Sheet1!C107,Sheet2!$J$3:$Q$3,0)),IF(S107=Sheet2!$W$6,INDEX(Sheet2!$J$9:$Q$9,1,MATCH(Sheet1!C107,Sheet2!$J$3:$Q$3,0)),IF(S107=Sheet2!$W$7,INDEX(Sheet2!$J$10:$Q$24,MATCH(Sheet1!R107,Sheet2!$H$10:$H$24,1),MATCH(Sheet1!C107,Sheet2!$J$3:$Q$3,0)),"ERR COUNTRY!"))))</f>
        <v>42.91</v>
      </c>
      <c r="E107" s="52">
        <f t="shared" si="21"/>
        <v>21.3</v>
      </c>
      <c r="F107" s="53" t="s">
        <v>30</v>
      </c>
      <c r="G107" s="52">
        <f t="shared" si="28"/>
        <v>23.6666666666667</v>
      </c>
      <c r="H107" s="52">
        <f t="shared" si="23"/>
        <v>25.7233333333333</v>
      </c>
      <c r="I107" s="52" t="s">
        <v>30</v>
      </c>
      <c r="J107" s="52">
        <f>IF(OR(C107=Sheet2!$A$10),0,L107*0.2)</f>
        <v>28.4</v>
      </c>
      <c r="K107" s="52">
        <f t="shared" si="24"/>
        <v>54.1233333333333</v>
      </c>
      <c r="L107" s="58">
        <v>142</v>
      </c>
      <c r="M107" s="52">
        <f>R107*$B$1</f>
        <v>7.6</v>
      </c>
      <c r="N107" s="24">
        <v>8</v>
      </c>
      <c r="O107" s="24">
        <v>24</v>
      </c>
      <c r="P107" s="24">
        <v>22</v>
      </c>
      <c r="Q107" s="24">
        <v>5</v>
      </c>
      <c r="R107" s="24">
        <v>200</v>
      </c>
      <c r="S107" s="26" t="str">
        <f>IF(Sheet1!R107+Sheet2!$AB$7&gt;=Sheet2!$AA$7,"超出《标准包裹》重量",IF(AND(Sheet1!O107&lt;Sheet2!$X$7,Sheet1!P107&lt;Sheet2!$Y$7,Sheet1!Q107&lt;Sheet2!$Z$7),IF(Sheet1!R107+Sheet2!$AB$6&gt;=Sheet2!$AA$6,Sheet2!$W$7,IF(AND(Sheet1!O107&lt;Sheet2!$X$6,Sheet1!P107&lt;Sheet2!$Y$6,Sheet1!Q107&lt;Sheet2!$Z$6),IF(Sheet1!R107+Sheet2!$AB$5&gt;=Sheet2!$AA$5,Sheet2!$W$6,IF(AND(Sheet1!O107&lt;Sheet2!$X$5,Sheet1!P107&lt;Sheet2!$Y$5,Sheet1!Q107&lt;Sheet2!$Z$5),IF(Sheet1!R107+Sheet2!$AB$4&gt;=Sheet2!$AA$4,Sheet2!$W$5,IF(AND(Sheet1!O107&lt;Sheet2!$X$4,Sheet1!P107&lt;Sheet2!$Y$4,Sheet1!Q107&lt;Sheet2!$Z$4),Sheet2!$W$4,Sheet2!$W$5)),Sheet2!$W$6)),Sheet2!$W$7)),"超出《标准包裹》尺寸"))</f>
        <v>标准包裹</v>
      </c>
      <c r="T107" s="69">
        <f>H107*0.63-N107-M107</f>
        <v>0.605700000000008</v>
      </c>
      <c r="Y107" s="76"/>
    </row>
    <row r="108" ht="15" customHeight="1" spans="1:25">
      <c r="A108" s="46"/>
      <c r="B108" s="47"/>
      <c r="C108" s="45" t="s">
        <v>37</v>
      </c>
      <c r="D108" s="39">
        <f>IF(S108=Sheet2!$W$4,INDEX(Sheet2!$J$5:$Q$5,1,MATCH(Sheet1!C108,Sheet2!$J$3:$Q$3,0)),IF(S108=Sheet2!$W$5,INDEX(Sheet2!$J$6:$Q$8,MATCH(Sheet1!R108,Sheet2!$H$6:$H$8,1),MATCH(Sheet1!C108,Sheet2!$J$3:$Q$3,0)),IF(S108=Sheet2!$W$6,INDEX(Sheet2!$J$9:$Q$9,1,MATCH(Sheet1!C108,Sheet2!$J$3:$Q$3,0)),IF(S108=Sheet2!$W$7,INDEX(Sheet2!$J$10:$Q$24,MATCH(Sheet1!R108,Sheet2!$H$10:$H$24,1),MATCH(Sheet1!C108,Sheet2!$J$3:$Q$3,0)),"ERR COUNTRY!"))))</f>
        <v>5.66</v>
      </c>
      <c r="E108" s="52">
        <f t="shared" si="21"/>
        <v>7.2</v>
      </c>
      <c r="F108" s="53" t="s">
        <v>30</v>
      </c>
      <c r="G108" s="52">
        <f t="shared" si="28"/>
        <v>8</v>
      </c>
      <c r="H108" s="52">
        <f t="shared" si="23"/>
        <v>17.54</v>
      </c>
      <c r="I108" s="52" t="s">
        <v>30</v>
      </c>
      <c r="J108" s="52">
        <f>IF(OR(C108=Sheet2!$A$10),0,L108*0.2)</f>
        <v>9.6</v>
      </c>
      <c r="K108" s="52">
        <f t="shared" si="24"/>
        <v>27.14</v>
      </c>
      <c r="L108" s="58">
        <v>48</v>
      </c>
      <c r="M108" s="52">
        <f>R108*$B$1</f>
        <v>7.6</v>
      </c>
      <c r="N108" s="24">
        <v>8</v>
      </c>
      <c r="O108" s="24">
        <v>24</v>
      </c>
      <c r="P108" s="24">
        <v>22</v>
      </c>
      <c r="Q108" s="24">
        <v>5</v>
      </c>
      <c r="R108" s="24">
        <v>200</v>
      </c>
      <c r="S108" s="26" t="str">
        <f>IF(Sheet1!R108+Sheet2!$AB$7&gt;=Sheet2!$AA$7,"超出《标准包裹》重量",IF(AND(Sheet1!O108&lt;Sheet2!$X$7,Sheet1!P108&lt;Sheet2!$Y$7,Sheet1!Q108&lt;Sheet2!$Z$7),IF(Sheet1!R108+Sheet2!$AB$6&gt;=Sheet2!$AA$6,Sheet2!$W$7,IF(AND(Sheet1!O108&lt;Sheet2!$X$6,Sheet1!P108&lt;Sheet2!$Y$6,Sheet1!Q108&lt;Sheet2!$Z$6),IF(Sheet1!R108+Sheet2!$AB$5&gt;=Sheet2!$AA$5,Sheet2!$W$6,IF(AND(Sheet1!O108&lt;Sheet2!$X$5,Sheet1!P108&lt;Sheet2!$Y$5,Sheet1!Q108&lt;Sheet2!$Z$5),IF(Sheet1!R108+Sheet2!$AB$4&gt;=Sheet2!$AA$4,Sheet2!$W$5,IF(AND(Sheet1!O108&lt;Sheet2!$X$4,Sheet1!P108&lt;Sheet2!$Y$4,Sheet1!Q108&lt;Sheet2!$Z$4),Sheet2!$W$4,Sheet2!$W$5)),Sheet2!$W$6)),Sheet2!$W$7)),"超出《标准包裹》尺寸"))</f>
        <v>标准包裹</v>
      </c>
      <c r="T108" s="69">
        <f>H108*1.38-N108-M108</f>
        <v>8.6052</v>
      </c>
      <c r="Y108" s="76"/>
    </row>
    <row r="109" spans="1:25">
      <c r="A109" s="46"/>
      <c r="B109" s="47"/>
      <c r="C109" s="45"/>
      <c r="D109" s="39">
        <v>0</v>
      </c>
      <c r="E109" s="52">
        <f t="shared" si="21"/>
        <v>9</v>
      </c>
      <c r="F109" s="53" t="s">
        <v>39</v>
      </c>
      <c r="G109" s="52">
        <v>0</v>
      </c>
      <c r="H109" s="52">
        <f t="shared" si="23"/>
        <v>51</v>
      </c>
      <c r="I109" s="52" t="s">
        <v>30</v>
      </c>
      <c r="J109" s="52">
        <f>IF(OR(C109=Sheet2!$A$10),0,L109*0.2)</f>
        <v>0</v>
      </c>
      <c r="K109" s="52">
        <f t="shared" si="24"/>
        <v>51</v>
      </c>
      <c r="L109" s="59">
        <v>60</v>
      </c>
      <c r="M109" s="52">
        <f>R109*$B$1</f>
        <v>7.6</v>
      </c>
      <c r="N109" s="24">
        <v>8</v>
      </c>
      <c r="O109" s="64"/>
      <c r="P109" s="64"/>
      <c r="Q109" s="64"/>
      <c r="R109" s="24">
        <v>200</v>
      </c>
      <c r="S109" s="70"/>
      <c r="T109" s="69">
        <f>H109*0.44-N109-M109</f>
        <v>6.84</v>
      </c>
      <c r="Y109" s="76"/>
    </row>
    <row r="110" ht="15" customHeight="1" spans="1:25">
      <c r="A110" s="77"/>
      <c r="B110" s="44"/>
      <c r="C110" s="45" t="s">
        <v>29</v>
      </c>
      <c r="D110" s="39">
        <f>IF(S110=Sheet2!$W$4,INDEX(Sheet2!$J$5:$Q$5,1,MATCH(Sheet1!C110,Sheet2!$J$3:$Q$3,0)),IF(S110=Sheet2!$W$5,INDEX(Sheet2!$J$6:$Q$8,MATCH(Sheet1!R110,Sheet2!$H$6:$H$8,1),MATCH(Sheet1!C110,Sheet2!$J$3:$Q$3,0)),IF(S110=Sheet2!$W$6,INDEX(Sheet2!$J$9:$Q$9,1,MATCH(Sheet1!C110,Sheet2!$J$3:$Q$3,0)),IF(S110=Sheet2!$W$7,INDEX(Sheet2!$J$10:$Q$24,MATCH(Sheet1!R110,Sheet2!$H$10:$H$24,1),MATCH(Sheet1!C110,Sheet2!$J$3:$Q$3,0)),"ERR COUNTRY!"))))</f>
        <v>2.77</v>
      </c>
      <c r="E110" s="52">
        <f t="shared" si="21"/>
        <v>1.7985</v>
      </c>
      <c r="F110" s="53" t="s">
        <v>30</v>
      </c>
      <c r="G110" s="52">
        <f t="shared" ref="G110:G117" si="30">L110-L110/(1+20%)</f>
        <v>1.99833333333333</v>
      </c>
      <c r="H110" s="52">
        <f t="shared" si="23"/>
        <v>3.02516666666667</v>
      </c>
      <c r="I110" s="52" t="s">
        <v>30</v>
      </c>
      <c r="J110" s="52">
        <f>IF(OR(C110=Sheet2!$A$10),0,L110*0.2)</f>
        <v>2.398</v>
      </c>
      <c r="K110" s="52">
        <f t="shared" si="24"/>
        <v>5.42316666666667</v>
      </c>
      <c r="L110" s="58">
        <v>11.99</v>
      </c>
      <c r="M110" s="52">
        <f>R110*$B$1</f>
        <v>7.6</v>
      </c>
      <c r="N110" s="24">
        <v>8</v>
      </c>
      <c r="O110" s="24">
        <v>24</v>
      </c>
      <c r="P110" s="24">
        <v>22</v>
      </c>
      <c r="Q110" s="24">
        <v>5</v>
      </c>
      <c r="R110" s="24">
        <v>200</v>
      </c>
      <c r="S110" s="26" t="str">
        <f>IF(Sheet1!R110+Sheet2!$AB$7&gt;=Sheet2!$AA$7,"超出《标准包裹》重量",IF(AND(Sheet1!O110&lt;Sheet2!$X$7,Sheet1!P110&lt;Sheet2!$Y$7,Sheet1!Q110&lt;Sheet2!$Z$7),IF(Sheet1!R110+Sheet2!$AB$6&gt;=Sheet2!$AA$6,Sheet2!$W$7,IF(AND(Sheet1!O110&lt;Sheet2!$X$6,Sheet1!P110&lt;Sheet2!$Y$6,Sheet1!Q110&lt;Sheet2!$Z$6),IF(Sheet1!R110+Sheet2!$AB$5&gt;=Sheet2!$AA$5,Sheet2!$W$6,IF(AND(Sheet1!O110&lt;Sheet2!$X$5,Sheet1!P110&lt;Sheet2!$Y$5,Sheet1!Q110&lt;Sheet2!$Z$5),IF(Sheet1!R110+Sheet2!$AB$4&gt;=Sheet2!$AA$4,Sheet2!$W$5,IF(AND(Sheet1!O110&lt;Sheet2!$X$4,Sheet1!P110&lt;Sheet2!$Y$4,Sheet1!Q110&lt;Sheet2!$Z$4),Sheet2!$W$4,Sheet2!$W$5)),Sheet2!$W$6)),Sheet2!$W$7)),"超出《标准包裹》尺寸"))</f>
        <v>标准包裹</v>
      </c>
      <c r="T110" s="69">
        <f>H110*8.3-N110-M110</f>
        <v>9.50888333333334</v>
      </c>
      <c r="W110" s="74"/>
      <c r="X110" s="74"/>
      <c r="Y110" s="76"/>
    </row>
    <row r="111" ht="15" customHeight="1" spans="1:25">
      <c r="A111" s="46"/>
      <c r="B111" s="47"/>
      <c r="C111" s="45" t="s">
        <v>31</v>
      </c>
      <c r="D111" s="39">
        <f>IF(S111=Sheet2!$W$4,INDEX(Sheet2!$J$5:$Q$5,1,MATCH(Sheet1!C111,Sheet2!$J$3:$Q$3,0)),IF(S111=Sheet2!$W$5,INDEX(Sheet2!$J$6:$Q$8,MATCH(Sheet1!R111,Sheet2!$H$6:$H$8,1),MATCH(Sheet1!C111,Sheet2!$J$3:$Q$3,0)),IF(S111=Sheet2!$W$6,INDEX(Sheet2!$J$9:$Q$9,1,MATCH(Sheet1!C111,Sheet2!$J$3:$Q$3,0)),IF(S111=Sheet2!$W$7,INDEX(Sheet2!$J$10:$Q$24,MATCH(Sheet1!R111,Sheet2!$H$10:$H$24,1),MATCH(Sheet1!C111,Sheet2!$J$3:$Q$3,0)),"ERR COUNTRY!"))))</f>
        <v>3.73</v>
      </c>
      <c r="E111" s="52">
        <f t="shared" si="21"/>
        <v>2.0985</v>
      </c>
      <c r="F111" s="53" t="s">
        <v>30</v>
      </c>
      <c r="G111" s="52">
        <f t="shared" si="30"/>
        <v>2.33166666666667</v>
      </c>
      <c r="H111" s="52">
        <f t="shared" si="23"/>
        <v>3.03183333333333</v>
      </c>
      <c r="I111" s="52" t="s">
        <v>30</v>
      </c>
      <c r="J111" s="52">
        <f>IF(OR(C111=Sheet2!$A$10),0,L111*0.2)</f>
        <v>2.798</v>
      </c>
      <c r="K111" s="52">
        <f t="shared" si="24"/>
        <v>5.82983333333333</v>
      </c>
      <c r="L111" s="58">
        <v>13.99</v>
      </c>
      <c r="M111" s="52">
        <f>R111*$B$1</f>
        <v>7.6</v>
      </c>
      <c r="N111" s="24">
        <v>8</v>
      </c>
      <c r="O111" s="24">
        <v>24</v>
      </c>
      <c r="P111" s="24">
        <v>22</v>
      </c>
      <c r="Q111" s="24">
        <v>5</v>
      </c>
      <c r="R111" s="24">
        <v>200</v>
      </c>
      <c r="S111" s="26" t="str">
        <f>IF(Sheet1!R111+Sheet2!$AB$7&gt;=Sheet2!$AA$7,"超出《标准包裹》重量",IF(AND(Sheet1!O111&lt;Sheet2!$X$7,Sheet1!P111&lt;Sheet2!$Y$7,Sheet1!Q111&lt;Sheet2!$Z$7),IF(Sheet1!R111+Sheet2!$AB$6&gt;=Sheet2!$AA$6,Sheet2!$W$7,IF(AND(Sheet1!O111&lt;Sheet2!$X$6,Sheet1!P111&lt;Sheet2!$Y$6,Sheet1!Q111&lt;Sheet2!$Z$6),IF(Sheet1!R111+Sheet2!$AB$5&gt;=Sheet2!$AA$5,Sheet2!$W$6,IF(AND(Sheet1!O111&lt;Sheet2!$X$5,Sheet1!P111&lt;Sheet2!$Y$5,Sheet1!Q111&lt;Sheet2!$Z$5),IF(Sheet1!R111+Sheet2!$AB$4&gt;=Sheet2!$AA$4,Sheet2!$W$5,IF(AND(Sheet1!O111&lt;Sheet2!$X$4,Sheet1!P111&lt;Sheet2!$Y$4,Sheet1!Q111&lt;Sheet2!$Z$4),Sheet2!$W$4,Sheet2!$W$5)),Sheet2!$W$6)),Sheet2!$W$7)),"超出《标准包裹》尺寸"))</f>
        <v>标准包裹</v>
      </c>
      <c r="T111" s="69">
        <f t="shared" ref="T111:T115" si="31">H111*7.1-N111-M111</f>
        <v>5.92601666666666</v>
      </c>
      <c r="X111" s="74"/>
      <c r="Y111" s="76"/>
    </row>
    <row r="112" ht="15" customHeight="1" spans="1:25">
      <c r="A112" s="46"/>
      <c r="B112" s="47"/>
      <c r="C112" s="45" t="s">
        <v>32</v>
      </c>
      <c r="D112" s="39">
        <f>IF(S112=Sheet2!$W$4,INDEX(Sheet2!$J$5:$Q$5,1,MATCH(Sheet1!C112,Sheet2!$J$3:$Q$3,0)),IF(S112=Sheet2!$W$5,INDEX(Sheet2!$J$6:$Q$8,MATCH(Sheet1!R112,Sheet2!$H$6:$H$8,1),MATCH(Sheet1!C112,Sheet2!$J$3:$Q$3,0)),IF(S112=Sheet2!$W$6,INDEX(Sheet2!$J$9:$Q$9,1,MATCH(Sheet1!C112,Sheet2!$J$3:$Q$3,0)),IF(S112=Sheet2!$W$7,INDEX(Sheet2!$J$10:$Q$24,MATCH(Sheet1!R112,Sheet2!$H$10:$H$24,1),MATCH(Sheet1!C112,Sheet2!$J$3:$Q$3,0)),"ERR COUNTRY!"))))</f>
        <v>5.27</v>
      </c>
      <c r="E112" s="52">
        <f t="shared" si="21"/>
        <v>2.6985</v>
      </c>
      <c r="F112" s="53" t="s">
        <v>30</v>
      </c>
      <c r="G112" s="52">
        <f t="shared" si="30"/>
        <v>2.99833333333333</v>
      </c>
      <c r="H112" s="52">
        <f t="shared" si="23"/>
        <v>3.42516666666667</v>
      </c>
      <c r="I112" s="52" t="s">
        <v>30</v>
      </c>
      <c r="J112" s="52">
        <f>IF(OR(C112=Sheet2!$A$10),0,L112*0.2)</f>
        <v>3.598</v>
      </c>
      <c r="K112" s="52">
        <f t="shared" si="24"/>
        <v>7.02316666666667</v>
      </c>
      <c r="L112" s="58">
        <v>17.99</v>
      </c>
      <c r="M112" s="52">
        <f>R112*$B$1</f>
        <v>7.6</v>
      </c>
      <c r="N112" s="24">
        <v>8</v>
      </c>
      <c r="O112" s="24">
        <v>24</v>
      </c>
      <c r="P112" s="24">
        <v>22</v>
      </c>
      <c r="Q112" s="24">
        <v>5</v>
      </c>
      <c r="R112" s="24">
        <v>200</v>
      </c>
      <c r="S112" s="26" t="str">
        <f>IF(Sheet1!R112+Sheet2!$AB$7&gt;=Sheet2!$AA$7,"超出《标准包裹》重量",IF(AND(Sheet1!O112&lt;Sheet2!$X$7,Sheet1!P112&lt;Sheet2!$Y$7,Sheet1!Q112&lt;Sheet2!$Z$7),IF(Sheet1!R112+Sheet2!$AB$6&gt;=Sheet2!$AA$6,Sheet2!$W$7,IF(AND(Sheet1!O112&lt;Sheet2!$X$6,Sheet1!P112&lt;Sheet2!$Y$6,Sheet1!Q112&lt;Sheet2!$Z$6),IF(Sheet1!R112+Sheet2!$AB$5&gt;=Sheet2!$AA$5,Sheet2!$W$6,IF(AND(Sheet1!O112&lt;Sheet2!$X$5,Sheet1!P112&lt;Sheet2!$Y$5,Sheet1!Q112&lt;Sheet2!$Z$5),IF(Sheet1!R112+Sheet2!$AB$4&gt;=Sheet2!$AA$4,Sheet2!$W$5,IF(AND(Sheet1!O112&lt;Sheet2!$X$4,Sheet1!P112&lt;Sheet2!$Y$4,Sheet1!Q112&lt;Sheet2!$Z$4),Sheet2!$W$4,Sheet2!$W$5)),Sheet2!$W$6)),Sheet2!$W$7)),"超出《标准包裹》尺寸"))</f>
        <v>标准包裹</v>
      </c>
      <c r="T112" s="69">
        <f t="shared" si="31"/>
        <v>8.71868333333333</v>
      </c>
      <c r="Y112" s="76"/>
    </row>
    <row r="113" ht="15" customHeight="1" spans="1:25">
      <c r="A113" s="46"/>
      <c r="B113" s="47"/>
      <c r="C113" s="45" t="s">
        <v>33</v>
      </c>
      <c r="D113" s="39">
        <f>IF(S113=Sheet2!$W$4,INDEX(Sheet2!$J$5:$Q$5,1,MATCH(Sheet1!C113,Sheet2!$J$3:$Q$3,0)),IF(S113=Sheet2!$W$5,INDEX(Sheet2!$J$6:$Q$8,MATCH(Sheet1!R113,Sheet2!$H$6:$H$8,1),MATCH(Sheet1!C113,Sheet2!$J$3:$Q$3,0)),IF(S113=Sheet2!$W$6,INDEX(Sheet2!$J$9:$Q$9,1,MATCH(Sheet1!C113,Sheet2!$J$3:$Q$3,0)),IF(S113=Sheet2!$W$7,INDEX(Sheet2!$J$10:$Q$24,MATCH(Sheet1!R113,Sheet2!$H$10:$H$24,1),MATCH(Sheet1!C113,Sheet2!$J$3:$Q$3,0)),"ERR COUNTRY!"))))</f>
        <v>4.82</v>
      </c>
      <c r="E113" s="52">
        <f t="shared" si="21"/>
        <v>2.3985</v>
      </c>
      <c r="F113" s="53" t="s">
        <v>30</v>
      </c>
      <c r="G113" s="52">
        <f t="shared" si="30"/>
        <v>2.665</v>
      </c>
      <c r="H113" s="52">
        <f t="shared" si="23"/>
        <v>2.9085</v>
      </c>
      <c r="I113" s="52" t="s">
        <v>30</v>
      </c>
      <c r="J113" s="52">
        <f>IF(OR(C113=Sheet2!$A$10),0,L113*0.2)</f>
        <v>3.198</v>
      </c>
      <c r="K113" s="52">
        <f t="shared" si="24"/>
        <v>6.1065</v>
      </c>
      <c r="L113" s="58">
        <v>15.99</v>
      </c>
      <c r="M113" s="52">
        <f>R113*$B$1</f>
        <v>7.6</v>
      </c>
      <c r="N113" s="24">
        <v>8</v>
      </c>
      <c r="O113" s="24">
        <v>24</v>
      </c>
      <c r="P113" s="24">
        <v>22</v>
      </c>
      <c r="Q113" s="24">
        <v>5</v>
      </c>
      <c r="R113" s="24">
        <v>200</v>
      </c>
      <c r="S113" s="26" t="str">
        <f>IF(Sheet1!R113+Sheet2!$AB$7&gt;=Sheet2!$AA$7,"超出《标准包裹》重量",IF(AND(Sheet1!O113&lt;Sheet2!$X$7,Sheet1!P113&lt;Sheet2!$Y$7,Sheet1!Q113&lt;Sheet2!$Z$7),IF(Sheet1!R113+Sheet2!$AB$6&gt;=Sheet2!$AA$6,Sheet2!$W$7,IF(AND(Sheet1!O113&lt;Sheet2!$X$6,Sheet1!P113&lt;Sheet2!$Y$6,Sheet1!Q113&lt;Sheet2!$Z$6),IF(Sheet1!R113+Sheet2!$AB$5&gt;=Sheet2!$AA$5,Sheet2!$W$6,IF(AND(Sheet1!O113&lt;Sheet2!$X$5,Sheet1!P113&lt;Sheet2!$Y$5,Sheet1!Q113&lt;Sheet2!$Z$5),IF(Sheet1!R113+Sheet2!$AB$4&gt;=Sheet2!$AA$4,Sheet2!$W$5,IF(AND(Sheet1!O113&lt;Sheet2!$X$4,Sheet1!P113&lt;Sheet2!$Y$4,Sheet1!Q113&lt;Sheet2!$Z$4),Sheet2!$W$4,Sheet2!$W$5)),Sheet2!$W$6)),Sheet2!$W$7)),"超出《标准包裹》尺寸"))</f>
        <v>标准包裹</v>
      </c>
      <c r="T113" s="69">
        <f t="shared" si="31"/>
        <v>5.05035</v>
      </c>
      <c r="W113" s="75"/>
      <c r="X113" s="75"/>
      <c r="Y113" s="76"/>
    </row>
    <row r="114" ht="15" customHeight="1" spans="1:25">
      <c r="A114" s="46"/>
      <c r="B114" s="47"/>
      <c r="C114" s="45" t="s">
        <v>34</v>
      </c>
      <c r="D114" s="39">
        <f>IF(S114=Sheet2!$W$4,INDEX(Sheet2!$J$5:$Q$5,1,MATCH(Sheet1!C114,Sheet2!$J$3:$Q$3,0)),IF(S114=Sheet2!$W$5,INDEX(Sheet2!$J$6:$Q$8,MATCH(Sheet1!R114,Sheet2!$H$6:$H$8,1),MATCH(Sheet1!C114,Sheet2!$J$3:$Q$3,0)),IF(S114=Sheet2!$W$6,INDEX(Sheet2!$J$9:$Q$9,1,MATCH(Sheet1!C114,Sheet2!$J$3:$Q$3,0)),IF(S114=Sheet2!$W$7,INDEX(Sheet2!$J$10:$Q$24,MATCH(Sheet1!R114,Sheet2!$H$10:$H$24,1),MATCH(Sheet1!C114,Sheet2!$J$3:$Q$3,0)),"ERR COUNTRY!"))))</f>
        <v>4.1</v>
      </c>
      <c r="E114" s="52">
        <f t="shared" si="21"/>
        <v>2.2485</v>
      </c>
      <c r="F114" s="53" t="s">
        <v>30</v>
      </c>
      <c r="G114" s="52">
        <f t="shared" si="30"/>
        <v>2.49833333333333</v>
      </c>
      <c r="H114" s="52">
        <f t="shared" si="23"/>
        <v>3.14516666666667</v>
      </c>
      <c r="I114" s="52" t="s">
        <v>30</v>
      </c>
      <c r="J114" s="52">
        <f>IF(OR(C114=Sheet2!$A$10),0,L114*0.2)</f>
        <v>2.998</v>
      </c>
      <c r="K114" s="52">
        <f t="shared" si="24"/>
        <v>6.14316666666667</v>
      </c>
      <c r="L114" s="58">
        <v>14.99</v>
      </c>
      <c r="M114" s="52">
        <f>R114*$B$1</f>
        <v>7.6</v>
      </c>
      <c r="N114" s="24">
        <v>8</v>
      </c>
      <c r="O114" s="24">
        <v>24</v>
      </c>
      <c r="P114" s="24">
        <v>22</v>
      </c>
      <c r="Q114" s="24">
        <v>5</v>
      </c>
      <c r="R114" s="24">
        <v>200</v>
      </c>
      <c r="S114" s="26" t="str">
        <f>IF(Sheet1!R114+Sheet2!$AB$7&gt;=Sheet2!$AA$7,"超出《标准包裹》重量",IF(AND(Sheet1!O114&lt;Sheet2!$X$7,Sheet1!P114&lt;Sheet2!$Y$7,Sheet1!Q114&lt;Sheet2!$Z$7),IF(Sheet1!R114+Sheet2!$AB$6&gt;=Sheet2!$AA$6,Sheet2!$W$7,IF(AND(Sheet1!O114&lt;Sheet2!$X$6,Sheet1!P114&lt;Sheet2!$Y$6,Sheet1!Q114&lt;Sheet2!$Z$6),IF(Sheet1!R114+Sheet2!$AB$5&gt;=Sheet2!$AA$5,Sheet2!$W$6,IF(AND(Sheet1!O114&lt;Sheet2!$X$5,Sheet1!P114&lt;Sheet2!$Y$5,Sheet1!Q114&lt;Sheet2!$Z$5),IF(Sheet1!R114+Sheet2!$AB$4&gt;=Sheet2!$AA$4,Sheet2!$W$5,IF(AND(Sheet1!O114&lt;Sheet2!$X$4,Sheet1!P114&lt;Sheet2!$Y$4,Sheet1!Q114&lt;Sheet2!$Z$4),Sheet2!$W$4,Sheet2!$W$5)),Sheet2!$W$6)),Sheet2!$W$7)),"超出《标准包裹》尺寸"))</f>
        <v>标准包裹</v>
      </c>
      <c r="T114" s="69">
        <f t="shared" si="31"/>
        <v>6.73068333333333</v>
      </c>
      <c r="Y114" s="76"/>
    </row>
    <row r="115" ht="15" customHeight="1" spans="1:25">
      <c r="A115" s="46"/>
      <c r="B115" s="47"/>
      <c r="C115" s="45" t="s">
        <v>35</v>
      </c>
      <c r="D115" s="39">
        <f>IF(S115=Sheet2!$W$4,INDEX(Sheet2!$J$5:$Q$5,1,MATCH(Sheet1!C115,Sheet2!$J$3:$Q$3,0)),IF(S115=Sheet2!$W$5,INDEX(Sheet2!$J$6:$Q$8,MATCH(Sheet1!R115,Sheet2!$H$6:$H$8,1),MATCH(Sheet1!C115,Sheet2!$J$3:$Q$3,0)),IF(S115=Sheet2!$W$6,INDEX(Sheet2!$J$9:$Q$9,1,MATCH(Sheet1!C115,Sheet2!$J$3:$Q$3,0)),IF(S115=Sheet2!$W$7,INDEX(Sheet2!$J$10:$Q$24,MATCH(Sheet1!R115,Sheet2!$H$10:$H$24,1),MATCH(Sheet1!C115,Sheet2!$J$3:$Q$3,0)),"ERR COUNTRY!"))))</f>
        <v>3.16</v>
      </c>
      <c r="E115" s="52">
        <f t="shared" si="21"/>
        <v>2.0985</v>
      </c>
      <c r="F115" s="53" t="s">
        <v>30</v>
      </c>
      <c r="G115" s="52">
        <f t="shared" si="30"/>
        <v>2.33166666666667</v>
      </c>
      <c r="H115" s="52">
        <f t="shared" si="23"/>
        <v>3.60183333333333</v>
      </c>
      <c r="I115" s="52" t="s">
        <v>30</v>
      </c>
      <c r="J115" s="52">
        <f>IF(OR(C115=Sheet2!$A$10),0,L115*0.2)</f>
        <v>2.798</v>
      </c>
      <c r="K115" s="52">
        <f t="shared" si="24"/>
        <v>6.39983333333333</v>
      </c>
      <c r="L115" s="58">
        <v>13.99</v>
      </c>
      <c r="M115" s="52">
        <f>R115*$B$1</f>
        <v>7.6</v>
      </c>
      <c r="N115" s="24">
        <v>8</v>
      </c>
      <c r="O115" s="24">
        <v>24</v>
      </c>
      <c r="P115" s="24">
        <v>22</v>
      </c>
      <c r="Q115" s="24">
        <v>5</v>
      </c>
      <c r="R115" s="24">
        <v>200</v>
      </c>
      <c r="S115" s="26" t="str">
        <f>IF(Sheet1!R115+Sheet2!$AB$7&gt;=Sheet2!$AA$7,"超出《标准包裹》重量",IF(AND(Sheet1!O115&lt;Sheet2!$X$7,Sheet1!P115&lt;Sheet2!$Y$7,Sheet1!Q115&lt;Sheet2!$Z$7),IF(Sheet1!R115+Sheet2!$AB$6&gt;=Sheet2!$AA$6,Sheet2!$W$7,IF(AND(Sheet1!O115&lt;Sheet2!$X$6,Sheet1!P115&lt;Sheet2!$Y$6,Sheet1!Q115&lt;Sheet2!$Z$6),IF(Sheet1!R115+Sheet2!$AB$5&gt;=Sheet2!$AA$5,Sheet2!$W$6,IF(AND(Sheet1!O115&lt;Sheet2!$X$5,Sheet1!P115&lt;Sheet2!$Y$5,Sheet1!Q115&lt;Sheet2!$Z$5),IF(Sheet1!R115+Sheet2!$AB$4&gt;=Sheet2!$AA$4,Sheet2!$W$5,IF(AND(Sheet1!O115&lt;Sheet2!$X$4,Sheet1!P115&lt;Sheet2!$Y$4,Sheet1!Q115&lt;Sheet2!$Z$4),Sheet2!$W$4,Sheet2!$W$5)),Sheet2!$W$6)),Sheet2!$W$7)),"超出《标准包裹》尺寸"))</f>
        <v>标准包裹</v>
      </c>
      <c r="T115" s="69">
        <f t="shared" si="31"/>
        <v>9.97301666666667</v>
      </c>
      <c r="Y115" s="76"/>
    </row>
    <row r="116" ht="15" customHeight="1" spans="1:25">
      <c r="A116" s="46"/>
      <c r="B116" s="47"/>
      <c r="C116" s="45" t="s">
        <v>36</v>
      </c>
      <c r="D116" s="39">
        <f>IF(S116=Sheet2!$W$4,INDEX(Sheet2!$J$5:$Q$5,1,MATCH(Sheet1!C116,Sheet2!$J$3:$Q$3,0)),IF(S116=Sheet2!$W$5,INDEX(Sheet2!$J$6:$Q$8,MATCH(Sheet1!R116,Sheet2!$H$6:$H$8,1),MATCH(Sheet1!C116,Sheet2!$J$3:$Q$3,0)),IF(S116=Sheet2!$W$6,INDEX(Sheet2!$J$9:$Q$9,1,MATCH(Sheet1!C116,Sheet2!$J$3:$Q$3,0)),IF(S116=Sheet2!$W$7,INDEX(Sheet2!$J$10:$Q$24,MATCH(Sheet1!R116,Sheet2!$H$10:$H$24,1),MATCH(Sheet1!C116,Sheet2!$J$3:$Q$3,0)),"ERR COUNTRY!"))))</f>
        <v>42.91</v>
      </c>
      <c r="E116" s="52">
        <f t="shared" si="21"/>
        <v>21.3</v>
      </c>
      <c r="F116" s="53" t="s">
        <v>30</v>
      </c>
      <c r="G116" s="52">
        <f t="shared" si="30"/>
        <v>23.6666666666667</v>
      </c>
      <c r="H116" s="52">
        <f t="shared" si="23"/>
        <v>25.7233333333333</v>
      </c>
      <c r="I116" s="52" t="s">
        <v>30</v>
      </c>
      <c r="J116" s="52">
        <f>IF(OR(C116=Sheet2!$A$10),0,L116*0.2)</f>
        <v>28.4</v>
      </c>
      <c r="K116" s="52">
        <f t="shared" si="24"/>
        <v>54.1233333333333</v>
      </c>
      <c r="L116" s="58">
        <v>142</v>
      </c>
      <c r="M116" s="52">
        <f>R116*$B$1</f>
        <v>7.6</v>
      </c>
      <c r="N116" s="24">
        <v>8</v>
      </c>
      <c r="O116" s="24">
        <v>24</v>
      </c>
      <c r="P116" s="24">
        <v>22</v>
      </c>
      <c r="Q116" s="24">
        <v>5</v>
      </c>
      <c r="R116" s="24">
        <v>200</v>
      </c>
      <c r="S116" s="26" t="str">
        <f>IF(Sheet1!R116+Sheet2!$AB$7&gt;=Sheet2!$AA$7,"超出《标准包裹》重量",IF(AND(Sheet1!O116&lt;Sheet2!$X$7,Sheet1!P116&lt;Sheet2!$Y$7,Sheet1!Q116&lt;Sheet2!$Z$7),IF(Sheet1!R116+Sheet2!$AB$6&gt;=Sheet2!$AA$6,Sheet2!$W$7,IF(AND(Sheet1!O116&lt;Sheet2!$X$6,Sheet1!P116&lt;Sheet2!$Y$6,Sheet1!Q116&lt;Sheet2!$Z$6),IF(Sheet1!R116+Sheet2!$AB$5&gt;=Sheet2!$AA$5,Sheet2!$W$6,IF(AND(Sheet1!O116&lt;Sheet2!$X$5,Sheet1!P116&lt;Sheet2!$Y$5,Sheet1!Q116&lt;Sheet2!$Z$5),IF(Sheet1!R116+Sheet2!$AB$4&gt;=Sheet2!$AA$4,Sheet2!$W$5,IF(AND(Sheet1!O116&lt;Sheet2!$X$4,Sheet1!P116&lt;Sheet2!$Y$4,Sheet1!Q116&lt;Sheet2!$Z$4),Sheet2!$W$4,Sheet2!$W$5)),Sheet2!$W$6)),Sheet2!$W$7)),"超出《标准包裹》尺寸"))</f>
        <v>标准包裹</v>
      </c>
      <c r="T116" s="69">
        <f>H116*0.63-N116-M116</f>
        <v>0.605700000000008</v>
      </c>
      <c r="Y116" s="76"/>
    </row>
    <row r="117" ht="15" customHeight="1" spans="1:25">
      <c r="A117" s="46"/>
      <c r="B117" s="47"/>
      <c r="C117" s="45" t="s">
        <v>37</v>
      </c>
      <c r="D117" s="39">
        <f>IF(S117=Sheet2!$W$4,INDEX(Sheet2!$J$5:$Q$5,1,MATCH(Sheet1!C117,Sheet2!$J$3:$Q$3,0)),IF(S117=Sheet2!$W$5,INDEX(Sheet2!$J$6:$Q$8,MATCH(Sheet1!R117,Sheet2!$H$6:$H$8,1),MATCH(Sheet1!C117,Sheet2!$J$3:$Q$3,0)),IF(S117=Sheet2!$W$6,INDEX(Sheet2!$J$9:$Q$9,1,MATCH(Sheet1!C117,Sheet2!$J$3:$Q$3,0)),IF(S117=Sheet2!$W$7,INDEX(Sheet2!$J$10:$Q$24,MATCH(Sheet1!R117,Sheet2!$H$10:$H$24,1),MATCH(Sheet1!C117,Sheet2!$J$3:$Q$3,0)),"ERR COUNTRY!"))))</f>
        <v>5.66</v>
      </c>
      <c r="E117" s="52">
        <f t="shared" si="21"/>
        <v>7.2</v>
      </c>
      <c r="F117" s="53" t="s">
        <v>30</v>
      </c>
      <c r="G117" s="52">
        <f t="shared" si="30"/>
        <v>8</v>
      </c>
      <c r="H117" s="52">
        <f t="shared" si="23"/>
        <v>17.54</v>
      </c>
      <c r="I117" s="52" t="s">
        <v>30</v>
      </c>
      <c r="J117" s="52">
        <f>IF(OR(C117=Sheet2!$A$10),0,L117*0.2)</f>
        <v>9.6</v>
      </c>
      <c r="K117" s="52">
        <f t="shared" si="24"/>
        <v>27.14</v>
      </c>
      <c r="L117" s="58">
        <v>48</v>
      </c>
      <c r="M117" s="52">
        <f>R117*$B$1</f>
        <v>7.6</v>
      </c>
      <c r="N117" s="24">
        <v>8</v>
      </c>
      <c r="O117" s="24">
        <v>24</v>
      </c>
      <c r="P117" s="24">
        <v>22</v>
      </c>
      <c r="Q117" s="24">
        <v>5</v>
      </c>
      <c r="R117" s="24">
        <v>200</v>
      </c>
      <c r="S117" s="26" t="str">
        <f>IF(Sheet1!R117+Sheet2!$AB$7&gt;=Sheet2!$AA$7,"超出《标准包裹》重量",IF(AND(Sheet1!O117&lt;Sheet2!$X$7,Sheet1!P117&lt;Sheet2!$Y$7,Sheet1!Q117&lt;Sheet2!$Z$7),IF(Sheet1!R117+Sheet2!$AB$6&gt;=Sheet2!$AA$6,Sheet2!$W$7,IF(AND(Sheet1!O117&lt;Sheet2!$X$6,Sheet1!P117&lt;Sheet2!$Y$6,Sheet1!Q117&lt;Sheet2!$Z$6),IF(Sheet1!R117+Sheet2!$AB$5&gt;=Sheet2!$AA$5,Sheet2!$W$6,IF(AND(Sheet1!O117&lt;Sheet2!$X$5,Sheet1!P117&lt;Sheet2!$Y$5,Sheet1!Q117&lt;Sheet2!$Z$5),IF(Sheet1!R117+Sheet2!$AB$4&gt;=Sheet2!$AA$4,Sheet2!$W$5,IF(AND(Sheet1!O117&lt;Sheet2!$X$4,Sheet1!P117&lt;Sheet2!$Y$4,Sheet1!Q117&lt;Sheet2!$Z$4),Sheet2!$W$4,Sheet2!$W$5)),Sheet2!$W$6)),Sheet2!$W$7)),"超出《标准包裹》尺寸"))</f>
        <v>标准包裹</v>
      </c>
      <c r="T117" s="69">
        <f>H117*1.38-N117-M117</f>
        <v>8.6052</v>
      </c>
      <c r="Y117" s="76"/>
    </row>
    <row r="118" spans="1:25">
      <c r="A118" s="46"/>
      <c r="B118" s="47"/>
      <c r="C118" s="45"/>
      <c r="D118" s="39">
        <v>0</v>
      </c>
      <c r="E118" s="52">
        <f t="shared" si="21"/>
        <v>9</v>
      </c>
      <c r="F118" s="53" t="s">
        <v>39</v>
      </c>
      <c r="G118" s="52">
        <v>0</v>
      </c>
      <c r="H118" s="52">
        <f t="shared" si="23"/>
        <v>51</v>
      </c>
      <c r="I118" s="52" t="s">
        <v>30</v>
      </c>
      <c r="J118" s="52">
        <f>IF(OR(C118=Sheet2!$A$10),0,L118*0.2)</f>
        <v>0</v>
      </c>
      <c r="K118" s="52">
        <f t="shared" si="24"/>
        <v>51</v>
      </c>
      <c r="L118" s="59">
        <v>60</v>
      </c>
      <c r="M118" s="52">
        <f>R118*$B$1</f>
        <v>11.4</v>
      </c>
      <c r="N118" s="24">
        <v>8</v>
      </c>
      <c r="O118" s="64"/>
      <c r="P118" s="64"/>
      <c r="Q118" s="64"/>
      <c r="R118" s="24">
        <v>300</v>
      </c>
      <c r="S118" s="70"/>
      <c r="T118" s="69">
        <f>H118*0.44-N118-M118</f>
        <v>3.04</v>
      </c>
      <c r="Y118" s="76"/>
    </row>
    <row r="119" ht="15" customHeight="1" spans="1:25">
      <c r="A119" s="77"/>
      <c r="B119" s="44"/>
      <c r="C119" s="45" t="s">
        <v>29</v>
      </c>
      <c r="D119" s="39">
        <f>IF(S119=Sheet2!$W$4,INDEX(Sheet2!$J$5:$Q$5,1,MATCH(Sheet1!C119,Sheet2!$J$3:$Q$3,0)),IF(S119=Sheet2!$W$5,INDEX(Sheet2!$J$6:$Q$8,MATCH(Sheet1!R119,Sheet2!$H$6:$H$8,1),MATCH(Sheet1!C119,Sheet2!$J$3:$Q$3,0)),IF(S119=Sheet2!$W$6,INDEX(Sheet2!$J$9:$Q$9,1,MATCH(Sheet1!C119,Sheet2!$J$3:$Q$3,0)),IF(S119=Sheet2!$W$7,INDEX(Sheet2!$J$10:$Q$24,MATCH(Sheet1!R119,Sheet2!$H$10:$H$24,1),MATCH(Sheet1!C119,Sheet2!$J$3:$Q$3,0)),"ERR COUNTRY!"))))</f>
        <v>2.77</v>
      </c>
      <c r="E119" s="52">
        <f t="shared" si="21"/>
        <v>1.7985</v>
      </c>
      <c r="F119" s="53" t="s">
        <v>30</v>
      </c>
      <c r="G119" s="52">
        <f t="shared" ref="G119:G126" si="32">L119-L119/(1+20%)</f>
        <v>1.99833333333333</v>
      </c>
      <c r="H119" s="52">
        <f t="shared" si="23"/>
        <v>3.02516666666667</v>
      </c>
      <c r="I119" s="52" t="s">
        <v>30</v>
      </c>
      <c r="J119" s="52">
        <f>IF(OR(C119=Sheet2!$A$10),0,L119*0.2)</f>
        <v>2.398</v>
      </c>
      <c r="K119" s="52">
        <f t="shared" si="24"/>
        <v>5.42316666666667</v>
      </c>
      <c r="L119" s="58">
        <v>11.99</v>
      </c>
      <c r="M119" s="52">
        <f>R119*$B$1</f>
        <v>7.6</v>
      </c>
      <c r="N119" s="24">
        <v>8</v>
      </c>
      <c r="O119" s="24">
        <v>24</v>
      </c>
      <c r="P119" s="24">
        <v>22</v>
      </c>
      <c r="Q119" s="24">
        <v>5</v>
      </c>
      <c r="R119" s="24">
        <v>200</v>
      </c>
      <c r="S119" s="26" t="str">
        <f>IF(Sheet1!R119+Sheet2!$AB$7&gt;=Sheet2!$AA$7,"超出《标准包裹》重量",IF(AND(Sheet1!O119&lt;Sheet2!$X$7,Sheet1!P119&lt;Sheet2!$Y$7,Sheet1!Q119&lt;Sheet2!$Z$7),IF(Sheet1!R119+Sheet2!$AB$6&gt;=Sheet2!$AA$6,Sheet2!$W$7,IF(AND(Sheet1!O119&lt;Sheet2!$X$6,Sheet1!P119&lt;Sheet2!$Y$6,Sheet1!Q119&lt;Sheet2!$Z$6),IF(Sheet1!R119+Sheet2!$AB$5&gt;=Sheet2!$AA$5,Sheet2!$W$6,IF(AND(Sheet1!O119&lt;Sheet2!$X$5,Sheet1!P119&lt;Sheet2!$Y$5,Sheet1!Q119&lt;Sheet2!$Z$5),IF(Sheet1!R119+Sheet2!$AB$4&gt;=Sheet2!$AA$4,Sheet2!$W$5,IF(AND(Sheet1!O119&lt;Sheet2!$X$4,Sheet1!P119&lt;Sheet2!$Y$4,Sheet1!Q119&lt;Sheet2!$Z$4),Sheet2!$W$4,Sheet2!$W$5)),Sheet2!$W$6)),Sheet2!$W$7)),"超出《标准包裹》尺寸"))</f>
        <v>标准包裹</v>
      </c>
      <c r="T119" s="69">
        <f>H119*8.3-N119-M119</f>
        <v>9.50888333333334</v>
      </c>
      <c r="W119" s="74"/>
      <c r="X119" s="74"/>
      <c r="Y119" s="76"/>
    </row>
    <row r="120" ht="15" customHeight="1" spans="1:25">
      <c r="A120" s="46"/>
      <c r="B120" s="47"/>
      <c r="C120" s="45" t="s">
        <v>31</v>
      </c>
      <c r="D120" s="39">
        <f>IF(S120=Sheet2!$W$4,INDEX(Sheet2!$J$5:$Q$5,1,MATCH(Sheet1!C120,Sheet2!$J$3:$Q$3,0)),IF(S120=Sheet2!$W$5,INDEX(Sheet2!$J$6:$Q$8,MATCH(Sheet1!R120,Sheet2!$H$6:$H$8,1),MATCH(Sheet1!C120,Sheet2!$J$3:$Q$3,0)),IF(S120=Sheet2!$W$6,INDEX(Sheet2!$J$9:$Q$9,1,MATCH(Sheet1!C120,Sheet2!$J$3:$Q$3,0)),IF(S120=Sheet2!$W$7,INDEX(Sheet2!$J$10:$Q$24,MATCH(Sheet1!R120,Sheet2!$H$10:$H$24,1),MATCH(Sheet1!C120,Sheet2!$J$3:$Q$3,0)),"ERR COUNTRY!"))))</f>
        <v>3.73</v>
      </c>
      <c r="E120" s="52">
        <f t="shared" si="21"/>
        <v>2.0985</v>
      </c>
      <c r="F120" s="53" t="s">
        <v>30</v>
      </c>
      <c r="G120" s="52">
        <f t="shared" si="32"/>
        <v>2.33166666666667</v>
      </c>
      <c r="H120" s="52">
        <f t="shared" si="23"/>
        <v>3.03183333333333</v>
      </c>
      <c r="I120" s="52" t="s">
        <v>30</v>
      </c>
      <c r="J120" s="52">
        <f>IF(OR(C120=Sheet2!$A$10),0,L120*0.2)</f>
        <v>2.798</v>
      </c>
      <c r="K120" s="52">
        <f t="shared" si="24"/>
        <v>5.82983333333333</v>
      </c>
      <c r="L120" s="58">
        <v>13.99</v>
      </c>
      <c r="M120" s="52">
        <f>R120*$B$1</f>
        <v>7.6</v>
      </c>
      <c r="N120" s="24">
        <v>8</v>
      </c>
      <c r="O120" s="24">
        <v>24</v>
      </c>
      <c r="P120" s="24">
        <v>22</v>
      </c>
      <c r="Q120" s="24">
        <v>5</v>
      </c>
      <c r="R120" s="24">
        <v>200</v>
      </c>
      <c r="S120" s="26" t="str">
        <f>IF(Sheet1!R120+Sheet2!$AB$7&gt;=Sheet2!$AA$7,"超出《标准包裹》重量",IF(AND(Sheet1!O120&lt;Sheet2!$X$7,Sheet1!P120&lt;Sheet2!$Y$7,Sheet1!Q120&lt;Sheet2!$Z$7),IF(Sheet1!R120+Sheet2!$AB$6&gt;=Sheet2!$AA$6,Sheet2!$W$7,IF(AND(Sheet1!O120&lt;Sheet2!$X$6,Sheet1!P120&lt;Sheet2!$Y$6,Sheet1!Q120&lt;Sheet2!$Z$6),IF(Sheet1!R120+Sheet2!$AB$5&gt;=Sheet2!$AA$5,Sheet2!$W$6,IF(AND(Sheet1!O120&lt;Sheet2!$X$5,Sheet1!P120&lt;Sheet2!$Y$5,Sheet1!Q120&lt;Sheet2!$Z$5),IF(Sheet1!R120+Sheet2!$AB$4&gt;=Sheet2!$AA$4,Sheet2!$W$5,IF(AND(Sheet1!O120&lt;Sheet2!$X$4,Sheet1!P120&lt;Sheet2!$Y$4,Sheet1!Q120&lt;Sheet2!$Z$4),Sheet2!$W$4,Sheet2!$W$5)),Sheet2!$W$6)),Sheet2!$W$7)),"超出《标准包裹》尺寸"))</f>
        <v>标准包裹</v>
      </c>
      <c r="T120" s="69">
        <f t="shared" ref="T120:T124" si="33">H120*7.1-N120-M120</f>
        <v>5.92601666666666</v>
      </c>
      <c r="X120" s="74"/>
      <c r="Y120" s="76"/>
    </row>
    <row r="121" ht="15" customHeight="1" spans="1:25">
      <c r="A121" s="46"/>
      <c r="B121" s="47"/>
      <c r="C121" s="45" t="s">
        <v>32</v>
      </c>
      <c r="D121" s="39">
        <f>IF(S121=Sheet2!$W$4,INDEX(Sheet2!$J$5:$Q$5,1,MATCH(Sheet1!C121,Sheet2!$J$3:$Q$3,0)),IF(S121=Sheet2!$W$5,INDEX(Sheet2!$J$6:$Q$8,MATCH(Sheet1!R121,Sheet2!$H$6:$H$8,1),MATCH(Sheet1!C121,Sheet2!$J$3:$Q$3,0)),IF(S121=Sheet2!$W$6,INDEX(Sheet2!$J$9:$Q$9,1,MATCH(Sheet1!C121,Sheet2!$J$3:$Q$3,0)),IF(S121=Sheet2!$W$7,INDEX(Sheet2!$J$10:$Q$24,MATCH(Sheet1!R121,Sheet2!$H$10:$H$24,1),MATCH(Sheet1!C121,Sheet2!$J$3:$Q$3,0)),"ERR COUNTRY!"))))</f>
        <v>5.27</v>
      </c>
      <c r="E121" s="52">
        <f t="shared" si="21"/>
        <v>2.6985</v>
      </c>
      <c r="F121" s="53" t="s">
        <v>30</v>
      </c>
      <c r="G121" s="52">
        <f t="shared" si="32"/>
        <v>2.99833333333333</v>
      </c>
      <c r="H121" s="52">
        <f t="shared" si="23"/>
        <v>3.42516666666667</v>
      </c>
      <c r="I121" s="52" t="s">
        <v>30</v>
      </c>
      <c r="J121" s="52">
        <f>IF(OR(C121=Sheet2!$A$10),0,L121*0.2)</f>
        <v>3.598</v>
      </c>
      <c r="K121" s="52">
        <f t="shared" si="24"/>
        <v>7.02316666666667</v>
      </c>
      <c r="L121" s="58">
        <v>17.99</v>
      </c>
      <c r="M121" s="52">
        <f>R121*$B$1</f>
        <v>7.6</v>
      </c>
      <c r="N121" s="24">
        <v>8</v>
      </c>
      <c r="O121" s="24">
        <v>24</v>
      </c>
      <c r="P121" s="24">
        <v>22</v>
      </c>
      <c r="Q121" s="24">
        <v>5</v>
      </c>
      <c r="R121" s="24">
        <v>200</v>
      </c>
      <c r="S121" s="26" t="str">
        <f>IF(Sheet1!R121+Sheet2!$AB$7&gt;=Sheet2!$AA$7,"超出《标准包裹》重量",IF(AND(Sheet1!O121&lt;Sheet2!$X$7,Sheet1!P121&lt;Sheet2!$Y$7,Sheet1!Q121&lt;Sheet2!$Z$7),IF(Sheet1!R121+Sheet2!$AB$6&gt;=Sheet2!$AA$6,Sheet2!$W$7,IF(AND(Sheet1!O121&lt;Sheet2!$X$6,Sheet1!P121&lt;Sheet2!$Y$6,Sheet1!Q121&lt;Sheet2!$Z$6),IF(Sheet1!R121+Sheet2!$AB$5&gt;=Sheet2!$AA$5,Sheet2!$W$6,IF(AND(Sheet1!O121&lt;Sheet2!$X$5,Sheet1!P121&lt;Sheet2!$Y$5,Sheet1!Q121&lt;Sheet2!$Z$5),IF(Sheet1!R121+Sheet2!$AB$4&gt;=Sheet2!$AA$4,Sheet2!$W$5,IF(AND(Sheet1!O121&lt;Sheet2!$X$4,Sheet1!P121&lt;Sheet2!$Y$4,Sheet1!Q121&lt;Sheet2!$Z$4),Sheet2!$W$4,Sheet2!$W$5)),Sheet2!$W$6)),Sheet2!$W$7)),"超出《标准包裹》尺寸"))</f>
        <v>标准包裹</v>
      </c>
      <c r="T121" s="69">
        <f t="shared" si="33"/>
        <v>8.71868333333333</v>
      </c>
      <c r="Y121" s="76"/>
    </row>
    <row r="122" ht="15" customHeight="1" spans="1:25">
      <c r="A122" s="46"/>
      <c r="B122" s="47"/>
      <c r="C122" s="45" t="s">
        <v>33</v>
      </c>
      <c r="D122" s="39">
        <f>IF(S122=Sheet2!$W$4,INDEX(Sheet2!$J$5:$Q$5,1,MATCH(Sheet1!C122,Sheet2!$J$3:$Q$3,0)),IF(S122=Sheet2!$W$5,INDEX(Sheet2!$J$6:$Q$8,MATCH(Sheet1!R122,Sheet2!$H$6:$H$8,1),MATCH(Sheet1!C122,Sheet2!$J$3:$Q$3,0)),IF(S122=Sheet2!$W$6,INDEX(Sheet2!$J$9:$Q$9,1,MATCH(Sheet1!C122,Sheet2!$J$3:$Q$3,0)),IF(S122=Sheet2!$W$7,INDEX(Sheet2!$J$10:$Q$24,MATCH(Sheet1!R122,Sheet2!$H$10:$H$24,1),MATCH(Sheet1!C122,Sheet2!$J$3:$Q$3,0)),"ERR COUNTRY!"))))</f>
        <v>4.82</v>
      </c>
      <c r="E122" s="52">
        <f t="shared" si="21"/>
        <v>2.3985</v>
      </c>
      <c r="F122" s="53" t="s">
        <v>30</v>
      </c>
      <c r="G122" s="52">
        <f t="shared" si="32"/>
        <v>2.665</v>
      </c>
      <c r="H122" s="52">
        <f t="shared" si="23"/>
        <v>2.9085</v>
      </c>
      <c r="I122" s="52" t="s">
        <v>30</v>
      </c>
      <c r="J122" s="52">
        <f>IF(OR(C122=Sheet2!$A$10),0,L122*0.2)</f>
        <v>3.198</v>
      </c>
      <c r="K122" s="52">
        <f t="shared" si="24"/>
        <v>6.1065</v>
      </c>
      <c r="L122" s="58">
        <v>15.99</v>
      </c>
      <c r="M122" s="52">
        <f>R122*$B$1</f>
        <v>7.6</v>
      </c>
      <c r="N122" s="24">
        <v>8</v>
      </c>
      <c r="O122" s="24">
        <v>24</v>
      </c>
      <c r="P122" s="24">
        <v>22</v>
      </c>
      <c r="Q122" s="24">
        <v>5</v>
      </c>
      <c r="R122" s="24">
        <v>200</v>
      </c>
      <c r="S122" s="26" t="str">
        <f>IF(Sheet1!R122+Sheet2!$AB$7&gt;=Sheet2!$AA$7,"超出《标准包裹》重量",IF(AND(Sheet1!O122&lt;Sheet2!$X$7,Sheet1!P122&lt;Sheet2!$Y$7,Sheet1!Q122&lt;Sheet2!$Z$7),IF(Sheet1!R122+Sheet2!$AB$6&gt;=Sheet2!$AA$6,Sheet2!$W$7,IF(AND(Sheet1!O122&lt;Sheet2!$X$6,Sheet1!P122&lt;Sheet2!$Y$6,Sheet1!Q122&lt;Sheet2!$Z$6),IF(Sheet1!R122+Sheet2!$AB$5&gt;=Sheet2!$AA$5,Sheet2!$W$6,IF(AND(Sheet1!O122&lt;Sheet2!$X$5,Sheet1!P122&lt;Sheet2!$Y$5,Sheet1!Q122&lt;Sheet2!$Z$5),IF(Sheet1!R122+Sheet2!$AB$4&gt;=Sheet2!$AA$4,Sheet2!$W$5,IF(AND(Sheet1!O122&lt;Sheet2!$X$4,Sheet1!P122&lt;Sheet2!$Y$4,Sheet1!Q122&lt;Sheet2!$Z$4),Sheet2!$W$4,Sheet2!$W$5)),Sheet2!$W$6)),Sheet2!$W$7)),"超出《标准包裹》尺寸"))</f>
        <v>标准包裹</v>
      </c>
      <c r="T122" s="69">
        <f t="shared" si="33"/>
        <v>5.05035</v>
      </c>
      <c r="W122" s="75"/>
      <c r="X122" s="75"/>
      <c r="Y122" s="76"/>
    </row>
    <row r="123" ht="15" customHeight="1" spans="1:25">
      <c r="A123" s="46"/>
      <c r="B123" s="47"/>
      <c r="C123" s="45" t="s">
        <v>34</v>
      </c>
      <c r="D123" s="39">
        <f>IF(S123=Sheet2!$W$4,INDEX(Sheet2!$J$5:$Q$5,1,MATCH(Sheet1!C123,Sheet2!$J$3:$Q$3,0)),IF(S123=Sheet2!$W$5,INDEX(Sheet2!$J$6:$Q$8,MATCH(Sheet1!R123,Sheet2!$H$6:$H$8,1),MATCH(Sheet1!C123,Sheet2!$J$3:$Q$3,0)),IF(S123=Sheet2!$W$6,INDEX(Sheet2!$J$9:$Q$9,1,MATCH(Sheet1!C123,Sheet2!$J$3:$Q$3,0)),IF(S123=Sheet2!$W$7,INDEX(Sheet2!$J$10:$Q$24,MATCH(Sheet1!R123,Sheet2!$H$10:$H$24,1),MATCH(Sheet1!C123,Sheet2!$J$3:$Q$3,0)),"ERR COUNTRY!"))))</f>
        <v>4.1</v>
      </c>
      <c r="E123" s="52">
        <f t="shared" si="21"/>
        <v>2.2485</v>
      </c>
      <c r="F123" s="53" t="s">
        <v>30</v>
      </c>
      <c r="G123" s="52">
        <f t="shared" si="32"/>
        <v>2.49833333333333</v>
      </c>
      <c r="H123" s="52">
        <f t="shared" si="23"/>
        <v>3.14516666666667</v>
      </c>
      <c r="I123" s="52" t="s">
        <v>30</v>
      </c>
      <c r="J123" s="52">
        <f>IF(OR(C123=Sheet2!$A$10),0,L123*0.2)</f>
        <v>2.998</v>
      </c>
      <c r="K123" s="52">
        <f t="shared" si="24"/>
        <v>6.14316666666667</v>
      </c>
      <c r="L123" s="58">
        <v>14.99</v>
      </c>
      <c r="M123" s="52">
        <f>R123*$B$1</f>
        <v>7.6</v>
      </c>
      <c r="N123" s="24">
        <v>8</v>
      </c>
      <c r="O123" s="24">
        <v>24</v>
      </c>
      <c r="P123" s="24">
        <v>22</v>
      </c>
      <c r="Q123" s="24">
        <v>5</v>
      </c>
      <c r="R123" s="24">
        <v>200</v>
      </c>
      <c r="S123" s="26" t="str">
        <f>IF(Sheet1!R123+Sheet2!$AB$7&gt;=Sheet2!$AA$7,"超出《标准包裹》重量",IF(AND(Sheet1!O123&lt;Sheet2!$X$7,Sheet1!P123&lt;Sheet2!$Y$7,Sheet1!Q123&lt;Sheet2!$Z$7),IF(Sheet1!R123+Sheet2!$AB$6&gt;=Sheet2!$AA$6,Sheet2!$W$7,IF(AND(Sheet1!O123&lt;Sheet2!$X$6,Sheet1!P123&lt;Sheet2!$Y$6,Sheet1!Q123&lt;Sheet2!$Z$6),IF(Sheet1!R123+Sheet2!$AB$5&gt;=Sheet2!$AA$5,Sheet2!$W$6,IF(AND(Sheet1!O123&lt;Sheet2!$X$5,Sheet1!P123&lt;Sheet2!$Y$5,Sheet1!Q123&lt;Sheet2!$Z$5),IF(Sheet1!R123+Sheet2!$AB$4&gt;=Sheet2!$AA$4,Sheet2!$W$5,IF(AND(Sheet1!O123&lt;Sheet2!$X$4,Sheet1!P123&lt;Sheet2!$Y$4,Sheet1!Q123&lt;Sheet2!$Z$4),Sheet2!$W$4,Sheet2!$W$5)),Sheet2!$W$6)),Sheet2!$W$7)),"超出《标准包裹》尺寸"))</f>
        <v>标准包裹</v>
      </c>
      <c r="T123" s="69">
        <f t="shared" si="33"/>
        <v>6.73068333333333</v>
      </c>
      <c r="Y123" s="76"/>
    </row>
    <row r="124" ht="15" customHeight="1" spans="1:25">
      <c r="A124" s="46"/>
      <c r="B124" s="47"/>
      <c r="C124" s="45" t="s">
        <v>35</v>
      </c>
      <c r="D124" s="39">
        <f>IF(S124=Sheet2!$W$4,INDEX(Sheet2!$J$5:$Q$5,1,MATCH(Sheet1!C124,Sheet2!$J$3:$Q$3,0)),IF(S124=Sheet2!$W$5,INDEX(Sheet2!$J$6:$Q$8,MATCH(Sheet1!R124,Sheet2!$H$6:$H$8,1),MATCH(Sheet1!C124,Sheet2!$J$3:$Q$3,0)),IF(S124=Sheet2!$W$6,INDEX(Sheet2!$J$9:$Q$9,1,MATCH(Sheet1!C124,Sheet2!$J$3:$Q$3,0)),IF(S124=Sheet2!$W$7,INDEX(Sheet2!$J$10:$Q$24,MATCH(Sheet1!R124,Sheet2!$H$10:$H$24,1),MATCH(Sheet1!C124,Sheet2!$J$3:$Q$3,0)),"ERR COUNTRY!"))))</f>
        <v>3.16</v>
      </c>
      <c r="E124" s="52">
        <f t="shared" si="21"/>
        <v>2.0985</v>
      </c>
      <c r="F124" s="53" t="s">
        <v>30</v>
      </c>
      <c r="G124" s="52">
        <f t="shared" si="32"/>
        <v>2.33166666666667</v>
      </c>
      <c r="H124" s="52">
        <f t="shared" si="23"/>
        <v>3.60183333333333</v>
      </c>
      <c r="I124" s="52" t="s">
        <v>30</v>
      </c>
      <c r="J124" s="52">
        <f>IF(OR(C124=Sheet2!$A$10),0,L124*0.2)</f>
        <v>2.798</v>
      </c>
      <c r="K124" s="52">
        <f t="shared" si="24"/>
        <v>6.39983333333333</v>
      </c>
      <c r="L124" s="58">
        <v>13.99</v>
      </c>
      <c r="M124" s="52">
        <f>R124*$B$1</f>
        <v>7.6</v>
      </c>
      <c r="N124" s="24">
        <v>8</v>
      </c>
      <c r="O124" s="24">
        <v>24</v>
      </c>
      <c r="P124" s="24">
        <v>22</v>
      </c>
      <c r="Q124" s="24">
        <v>5</v>
      </c>
      <c r="R124" s="24">
        <v>200</v>
      </c>
      <c r="S124" s="26" t="str">
        <f>IF(Sheet1!R124+Sheet2!$AB$7&gt;=Sheet2!$AA$7,"超出《标准包裹》重量",IF(AND(Sheet1!O124&lt;Sheet2!$X$7,Sheet1!P124&lt;Sheet2!$Y$7,Sheet1!Q124&lt;Sheet2!$Z$7),IF(Sheet1!R124+Sheet2!$AB$6&gt;=Sheet2!$AA$6,Sheet2!$W$7,IF(AND(Sheet1!O124&lt;Sheet2!$X$6,Sheet1!P124&lt;Sheet2!$Y$6,Sheet1!Q124&lt;Sheet2!$Z$6),IF(Sheet1!R124+Sheet2!$AB$5&gt;=Sheet2!$AA$5,Sheet2!$W$6,IF(AND(Sheet1!O124&lt;Sheet2!$X$5,Sheet1!P124&lt;Sheet2!$Y$5,Sheet1!Q124&lt;Sheet2!$Z$5),IF(Sheet1!R124+Sheet2!$AB$4&gt;=Sheet2!$AA$4,Sheet2!$W$5,IF(AND(Sheet1!O124&lt;Sheet2!$X$4,Sheet1!P124&lt;Sheet2!$Y$4,Sheet1!Q124&lt;Sheet2!$Z$4),Sheet2!$W$4,Sheet2!$W$5)),Sheet2!$W$6)),Sheet2!$W$7)),"超出《标准包裹》尺寸"))</f>
        <v>标准包裹</v>
      </c>
      <c r="T124" s="69">
        <f t="shared" si="33"/>
        <v>9.97301666666667</v>
      </c>
      <c r="Y124" s="76"/>
    </row>
    <row r="125" ht="15" customHeight="1" spans="1:25">
      <c r="A125" s="46"/>
      <c r="B125" s="47"/>
      <c r="C125" s="45" t="s">
        <v>36</v>
      </c>
      <c r="D125" s="39">
        <f>IF(S125=Sheet2!$W$4,INDEX(Sheet2!$J$5:$Q$5,1,MATCH(Sheet1!C125,Sheet2!$J$3:$Q$3,0)),IF(S125=Sheet2!$W$5,INDEX(Sheet2!$J$6:$Q$8,MATCH(Sheet1!R125,Sheet2!$H$6:$H$8,1),MATCH(Sheet1!C125,Sheet2!$J$3:$Q$3,0)),IF(S125=Sheet2!$W$6,INDEX(Sheet2!$J$9:$Q$9,1,MATCH(Sheet1!C125,Sheet2!$J$3:$Q$3,0)),IF(S125=Sheet2!$W$7,INDEX(Sheet2!$J$10:$Q$24,MATCH(Sheet1!R125,Sheet2!$H$10:$H$24,1),MATCH(Sheet1!C125,Sheet2!$J$3:$Q$3,0)),"ERR COUNTRY!"))))</f>
        <v>42.91</v>
      </c>
      <c r="E125" s="52">
        <f t="shared" si="21"/>
        <v>21.3</v>
      </c>
      <c r="F125" s="53" t="s">
        <v>30</v>
      </c>
      <c r="G125" s="52">
        <f t="shared" si="32"/>
        <v>23.6666666666667</v>
      </c>
      <c r="H125" s="52">
        <f t="shared" si="23"/>
        <v>25.7233333333333</v>
      </c>
      <c r="I125" s="52" t="s">
        <v>30</v>
      </c>
      <c r="J125" s="52">
        <f>IF(OR(C125=Sheet2!$A$10),0,L125*0.2)</f>
        <v>28.4</v>
      </c>
      <c r="K125" s="52">
        <f t="shared" si="24"/>
        <v>54.1233333333333</v>
      </c>
      <c r="L125" s="58">
        <v>142</v>
      </c>
      <c r="M125" s="52">
        <f>R125*$B$1</f>
        <v>7.6</v>
      </c>
      <c r="N125" s="24">
        <v>8</v>
      </c>
      <c r="O125" s="24">
        <v>24</v>
      </c>
      <c r="P125" s="24">
        <v>22</v>
      </c>
      <c r="Q125" s="24">
        <v>5</v>
      </c>
      <c r="R125" s="24">
        <v>200</v>
      </c>
      <c r="S125" s="26" t="str">
        <f>IF(Sheet1!R125+Sheet2!$AB$7&gt;=Sheet2!$AA$7,"超出《标准包裹》重量",IF(AND(Sheet1!O125&lt;Sheet2!$X$7,Sheet1!P125&lt;Sheet2!$Y$7,Sheet1!Q125&lt;Sheet2!$Z$7),IF(Sheet1!R125+Sheet2!$AB$6&gt;=Sheet2!$AA$6,Sheet2!$W$7,IF(AND(Sheet1!O125&lt;Sheet2!$X$6,Sheet1!P125&lt;Sheet2!$Y$6,Sheet1!Q125&lt;Sheet2!$Z$6),IF(Sheet1!R125+Sheet2!$AB$5&gt;=Sheet2!$AA$5,Sheet2!$W$6,IF(AND(Sheet1!O125&lt;Sheet2!$X$5,Sheet1!P125&lt;Sheet2!$Y$5,Sheet1!Q125&lt;Sheet2!$Z$5),IF(Sheet1!R125+Sheet2!$AB$4&gt;=Sheet2!$AA$4,Sheet2!$W$5,IF(AND(Sheet1!O125&lt;Sheet2!$X$4,Sheet1!P125&lt;Sheet2!$Y$4,Sheet1!Q125&lt;Sheet2!$Z$4),Sheet2!$W$4,Sheet2!$W$5)),Sheet2!$W$6)),Sheet2!$W$7)),"超出《标准包裹》尺寸"))</f>
        <v>标准包裹</v>
      </c>
      <c r="T125" s="69">
        <f>H125*0.63-N125-M125</f>
        <v>0.605700000000008</v>
      </c>
      <c r="Y125" s="76"/>
    </row>
    <row r="126" ht="15" customHeight="1" spans="1:25">
      <c r="A126" s="46"/>
      <c r="B126" s="47"/>
      <c r="C126" s="45" t="s">
        <v>37</v>
      </c>
      <c r="D126" s="39">
        <f>IF(S126=Sheet2!$W$4,INDEX(Sheet2!$J$5:$Q$5,1,MATCH(Sheet1!C126,Sheet2!$J$3:$Q$3,0)),IF(S126=Sheet2!$W$5,INDEX(Sheet2!$J$6:$Q$8,MATCH(Sheet1!R126,Sheet2!$H$6:$H$8,1),MATCH(Sheet1!C126,Sheet2!$J$3:$Q$3,0)),IF(S126=Sheet2!$W$6,INDEX(Sheet2!$J$9:$Q$9,1,MATCH(Sheet1!C126,Sheet2!$J$3:$Q$3,0)),IF(S126=Sheet2!$W$7,INDEX(Sheet2!$J$10:$Q$24,MATCH(Sheet1!R126,Sheet2!$H$10:$H$24,1),MATCH(Sheet1!C126,Sheet2!$J$3:$Q$3,0)),"ERR COUNTRY!"))))</f>
        <v>5.66</v>
      </c>
      <c r="E126" s="52">
        <f t="shared" si="21"/>
        <v>7.2</v>
      </c>
      <c r="F126" s="53" t="s">
        <v>30</v>
      </c>
      <c r="G126" s="52">
        <f t="shared" si="32"/>
        <v>8</v>
      </c>
      <c r="H126" s="52">
        <f t="shared" si="23"/>
        <v>17.54</v>
      </c>
      <c r="I126" s="52" t="s">
        <v>30</v>
      </c>
      <c r="J126" s="52">
        <f>IF(OR(C126=Sheet2!$A$10),0,L126*0.2)</f>
        <v>9.6</v>
      </c>
      <c r="K126" s="52">
        <f t="shared" si="24"/>
        <v>27.14</v>
      </c>
      <c r="L126" s="58">
        <v>48</v>
      </c>
      <c r="M126" s="52">
        <f>R126*$B$1</f>
        <v>7.6</v>
      </c>
      <c r="N126" s="24">
        <v>8</v>
      </c>
      <c r="O126" s="24">
        <v>24</v>
      </c>
      <c r="P126" s="24">
        <v>22</v>
      </c>
      <c r="Q126" s="24">
        <v>5</v>
      </c>
      <c r="R126" s="24">
        <v>200</v>
      </c>
      <c r="S126" s="26" t="str">
        <f>IF(Sheet1!R126+Sheet2!$AB$7&gt;=Sheet2!$AA$7,"超出《标准包裹》重量",IF(AND(Sheet1!O126&lt;Sheet2!$X$7,Sheet1!P126&lt;Sheet2!$Y$7,Sheet1!Q126&lt;Sheet2!$Z$7),IF(Sheet1!R126+Sheet2!$AB$6&gt;=Sheet2!$AA$6,Sheet2!$W$7,IF(AND(Sheet1!O126&lt;Sheet2!$X$6,Sheet1!P126&lt;Sheet2!$Y$6,Sheet1!Q126&lt;Sheet2!$Z$6),IF(Sheet1!R126+Sheet2!$AB$5&gt;=Sheet2!$AA$5,Sheet2!$W$6,IF(AND(Sheet1!O126&lt;Sheet2!$X$5,Sheet1!P126&lt;Sheet2!$Y$5,Sheet1!Q126&lt;Sheet2!$Z$5),IF(Sheet1!R126+Sheet2!$AB$4&gt;=Sheet2!$AA$4,Sheet2!$W$5,IF(AND(Sheet1!O126&lt;Sheet2!$X$4,Sheet1!P126&lt;Sheet2!$Y$4,Sheet1!Q126&lt;Sheet2!$Z$4),Sheet2!$W$4,Sheet2!$W$5)),Sheet2!$W$6)),Sheet2!$W$7)),"超出《标准包裹》尺寸"))</f>
        <v>标准包裹</v>
      </c>
      <c r="T126" s="69">
        <f>H126*1.38-N126-M126</f>
        <v>8.6052</v>
      </c>
      <c r="Y126" s="76"/>
    </row>
    <row r="127" spans="1:25">
      <c r="A127" s="46"/>
      <c r="B127" s="47"/>
      <c r="C127" s="45"/>
      <c r="D127" s="39">
        <v>0</v>
      </c>
      <c r="E127" s="52">
        <f t="shared" si="21"/>
        <v>9</v>
      </c>
      <c r="F127" s="53" t="s">
        <v>39</v>
      </c>
      <c r="G127" s="52">
        <v>0</v>
      </c>
      <c r="H127" s="52">
        <f t="shared" si="23"/>
        <v>51</v>
      </c>
      <c r="I127" s="52" t="s">
        <v>30</v>
      </c>
      <c r="J127" s="52">
        <f>IF(OR(C127=Sheet2!$A$10),0,L127*0.2)</f>
        <v>0</v>
      </c>
      <c r="K127" s="52">
        <f t="shared" si="24"/>
        <v>51</v>
      </c>
      <c r="L127" s="59">
        <v>60</v>
      </c>
      <c r="M127" s="52">
        <f>R127*$B$1</f>
        <v>7.6</v>
      </c>
      <c r="N127" s="24">
        <v>8</v>
      </c>
      <c r="O127" s="64"/>
      <c r="P127" s="64"/>
      <c r="Q127" s="64"/>
      <c r="R127" s="24">
        <v>200</v>
      </c>
      <c r="S127" s="70"/>
      <c r="T127" s="69">
        <f>H127*0.44-N127-M127</f>
        <v>6.84</v>
      </c>
      <c r="Y127" s="76"/>
    </row>
    <row r="128" ht="15" customHeight="1" spans="1:25">
      <c r="A128" s="77"/>
      <c r="B128" s="44"/>
      <c r="C128" s="45" t="s">
        <v>29</v>
      </c>
      <c r="D128" s="39">
        <f>IF(S128=Sheet2!$W$4,INDEX(Sheet2!$J$5:$Q$5,1,MATCH(Sheet1!C128,Sheet2!$J$3:$Q$3,0)),IF(S128=Sheet2!$W$5,INDEX(Sheet2!$J$6:$Q$8,MATCH(Sheet1!R128,Sheet2!$H$6:$H$8,1),MATCH(Sheet1!C128,Sheet2!$J$3:$Q$3,0)),IF(S128=Sheet2!$W$6,INDEX(Sheet2!$J$9:$Q$9,1,MATCH(Sheet1!C128,Sheet2!$J$3:$Q$3,0)),IF(S128=Sheet2!$W$7,INDEX(Sheet2!$J$10:$Q$24,MATCH(Sheet1!R128,Sheet2!$H$10:$H$24,1),MATCH(Sheet1!C128,Sheet2!$J$3:$Q$3,0)),"ERR COUNTRY!"))))</f>
        <v>2.77</v>
      </c>
      <c r="E128" s="52">
        <f t="shared" si="21"/>
        <v>1.7985</v>
      </c>
      <c r="F128" s="53" t="s">
        <v>30</v>
      </c>
      <c r="G128" s="52">
        <f t="shared" ref="G128:G135" si="34">L128-L128/(1+20%)</f>
        <v>1.99833333333333</v>
      </c>
      <c r="H128" s="52">
        <f t="shared" si="23"/>
        <v>3.02516666666667</v>
      </c>
      <c r="I128" s="52" t="s">
        <v>30</v>
      </c>
      <c r="J128" s="52">
        <f>IF(OR(C128=Sheet2!$A$10),0,L128*0.2)</f>
        <v>2.398</v>
      </c>
      <c r="K128" s="52">
        <f t="shared" si="24"/>
        <v>5.42316666666667</v>
      </c>
      <c r="L128" s="58">
        <v>11.99</v>
      </c>
      <c r="M128" s="52">
        <f>R128*$B$1</f>
        <v>7.6</v>
      </c>
      <c r="N128" s="24">
        <v>8</v>
      </c>
      <c r="O128" s="24">
        <v>24</v>
      </c>
      <c r="P128" s="24">
        <v>22</v>
      </c>
      <c r="Q128" s="24">
        <v>5</v>
      </c>
      <c r="R128" s="24">
        <v>200</v>
      </c>
      <c r="S128" s="26" t="str">
        <f>IF(Sheet1!R128+Sheet2!$AB$7&gt;=Sheet2!$AA$7,"超出《标准包裹》重量",IF(AND(Sheet1!O128&lt;Sheet2!$X$7,Sheet1!P128&lt;Sheet2!$Y$7,Sheet1!Q128&lt;Sheet2!$Z$7),IF(Sheet1!R128+Sheet2!$AB$6&gt;=Sheet2!$AA$6,Sheet2!$W$7,IF(AND(Sheet1!O128&lt;Sheet2!$X$6,Sheet1!P128&lt;Sheet2!$Y$6,Sheet1!Q128&lt;Sheet2!$Z$6),IF(Sheet1!R128+Sheet2!$AB$5&gt;=Sheet2!$AA$5,Sheet2!$W$6,IF(AND(Sheet1!O128&lt;Sheet2!$X$5,Sheet1!P128&lt;Sheet2!$Y$5,Sheet1!Q128&lt;Sheet2!$Z$5),IF(Sheet1!R128+Sheet2!$AB$4&gt;=Sheet2!$AA$4,Sheet2!$W$5,IF(AND(Sheet1!O128&lt;Sheet2!$X$4,Sheet1!P128&lt;Sheet2!$Y$4,Sheet1!Q128&lt;Sheet2!$Z$4),Sheet2!$W$4,Sheet2!$W$5)),Sheet2!$W$6)),Sheet2!$W$7)),"超出《标准包裹》尺寸"))</f>
        <v>标准包裹</v>
      </c>
      <c r="T128" s="69">
        <f>H128*8.3-N128-M128</f>
        <v>9.50888333333334</v>
      </c>
      <c r="W128" s="74"/>
      <c r="X128" s="74"/>
      <c r="Y128" s="76"/>
    </row>
    <row r="129" ht="15" customHeight="1" spans="1:25">
      <c r="A129" s="46"/>
      <c r="B129" s="47"/>
      <c r="C129" s="45" t="s">
        <v>31</v>
      </c>
      <c r="D129" s="39">
        <f>IF(S129=Sheet2!$W$4,INDEX(Sheet2!$J$5:$Q$5,1,MATCH(Sheet1!C129,Sheet2!$J$3:$Q$3,0)),IF(S129=Sheet2!$W$5,INDEX(Sheet2!$J$6:$Q$8,MATCH(Sheet1!R129,Sheet2!$H$6:$H$8,1),MATCH(Sheet1!C129,Sheet2!$J$3:$Q$3,0)),IF(S129=Sheet2!$W$6,INDEX(Sheet2!$J$9:$Q$9,1,MATCH(Sheet1!C129,Sheet2!$J$3:$Q$3,0)),IF(S129=Sheet2!$W$7,INDEX(Sheet2!$J$10:$Q$24,MATCH(Sheet1!R129,Sheet2!$H$10:$H$24,1),MATCH(Sheet1!C129,Sheet2!$J$3:$Q$3,0)),"ERR COUNTRY!"))))</f>
        <v>3.73</v>
      </c>
      <c r="E129" s="52">
        <f t="shared" si="21"/>
        <v>2.0985</v>
      </c>
      <c r="F129" s="53" t="s">
        <v>30</v>
      </c>
      <c r="G129" s="52">
        <f t="shared" si="34"/>
        <v>2.33166666666667</v>
      </c>
      <c r="H129" s="52">
        <f t="shared" si="23"/>
        <v>3.03183333333333</v>
      </c>
      <c r="I129" s="52" t="s">
        <v>30</v>
      </c>
      <c r="J129" s="52">
        <f>IF(OR(C129=Sheet2!$A$10),0,L129*0.2)</f>
        <v>2.798</v>
      </c>
      <c r="K129" s="52">
        <f t="shared" si="24"/>
        <v>5.82983333333333</v>
      </c>
      <c r="L129" s="58">
        <v>13.99</v>
      </c>
      <c r="M129" s="52">
        <f>R129*$B$1</f>
        <v>7.6</v>
      </c>
      <c r="N129" s="24">
        <v>8</v>
      </c>
      <c r="O129" s="24">
        <v>24</v>
      </c>
      <c r="P129" s="24">
        <v>22</v>
      </c>
      <c r="Q129" s="24">
        <v>5</v>
      </c>
      <c r="R129" s="24">
        <v>200</v>
      </c>
      <c r="S129" s="26" t="str">
        <f>IF(Sheet1!R129+Sheet2!$AB$7&gt;=Sheet2!$AA$7,"超出《标准包裹》重量",IF(AND(Sheet1!O129&lt;Sheet2!$X$7,Sheet1!P129&lt;Sheet2!$Y$7,Sheet1!Q129&lt;Sheet2!$Z$7),IF(Sheet1!R129+Sheet2!$AB$6&gt;=Sheet2!$AA$6,Sheet2!$W$7,IF(AND(Sheet1!O129&lt;Sheet2!$X$6,Sheet1!P129&lt;Sheet2!$Y$6,Sheet1!Q129&lt;Sheet2!$Z$6),IF(Sheet1!R129+Sheet2!$AB$5&gt;=Sheet2!$AA$5,Sheet2!$W$6,IF(AND(Sheet1!O129&lt;Sheet2!$X$5,Sheet1!P129&lt;Sheet2!$Y$5,Sheet1!Q129&lt;Sheet2!$Z$5),IF(Sheet1!R129+Sheet2!$AB$4&gt;=Sheet2!$AA$4,Sheet2!$W$5,IF(AND(Sheet1!O129&lt;Sheet2!$X$4,Sheet1!P129&lt;Sheet2!$Y$4,Sheet1!Q129&lt;Sheet2!$Z$4),Sheet2!$W$4,Sheet2!$W$5)),Sheet2!$W$6)),Sheet2!$W$7)),"超出《标准包裹》尺寸"))</f>
        <v>标准包裹</v>
      </c>
      <c r="T129" s="69">
        <f t="shared" ref="T129:T133" si="35">H129*7.1-N129-M129</f>
        <v>5.92601666666666</v>
      </c>
      <c r="X129" s="74"/>
      <c r="Y129" s="76"/>
    </row>
    <row r="130" ht="15" customHeight="1" spans="1:25">
      <c r="A130" s="46"/>
      <c r="B130" s="47"/>
      <c r="C130" s="45" t="s">
        <v>32</v>
      </c>
      <c r="D130" s="39">
        <f>IF(S130=Sheet2!$W$4,INDEX(Sheet2!$J$5:$Q$5,1,MATCH(Sheet1!C130,Sheet2!$J$3:$Q$3,0)),IF(S130=Sheet2!$W$5,INDEX(Sheet2!$J$6:$Q$8,MATCH(Sheet1!R130,Sheet2!$H$6:$H$8,1),MATCH(Sheet1!C130,Sheet2!$J$3:$Q$3,0)),IF(S130=Sheet2!$W$6,INDEX(Sheet2!$J$9:$Q$9,1,MATCH(Sheet1!C130,Sheet2!$J$3:$Q$3,0)),IF(S130=Sheet2!$W$7,INDEX(Sheet2!$J$10:$Q$24,MATCH(Sheet1!R130,Sheet2!$H$10:$H$24,1),MATCH(Sheet1!C130,Sheet2!$J$3:$Q$3,0)),"ERR COUNTRY!"))))</f>
        <v>5.27</v>
      </c>
      <c r="E130" s="52">
        <f t="shared" si="21"/>
        <v>2.6985</v>
      </c>
      <c r="F130" s="53" t="s">
        <v>30</v>
      </c>
      <c r="G130" s="52">
        <f t="shared" si="34"/>
        <v>2.99833333333333</v>
      </c>
      <c r="H130" s="52">
        <f t="shared" si="23"/>
        <v>3.42516666666667</v>
      </c>
      <c r="I130" s="52" t="s">
        <v>30</v>
      </c>
      <c r="J130" s="52">
        <f>IF(OR(C130=Sheet2!$A$10),0,L130*0.2)</f>
        <v>3.598</v>
      </c>
      <c r="K130" s="52">
        <f t="shared" si="24"/>
        <v>7.02316666666667</v>
      </c>
      <c r="L130" s="58">
        <v>17.99</v>
      </c>
      <c r="M130" s="52">
        <f>R130*$B$1</f>
        <v>7.6</v>
      </c>
      <c r="N130" s="24">
        <v>8</v>
      </c>
      <c r="O130" s="24">
        <v>24</v>
      </c>
      <c r="P130" s="24">
        <v>22</v>
      </c>
      <c r="Q130" s="24">
        <v>5</v>
      </c>
      <c r="R130" s="24">
        <v>200</v>
      </c>
      <c r="S130" s="26" t="str">
        <f>IF(Sheet1!R130+Sheet2!$AB$7&gt;=Sheet2!$AA$7,"超出《标准包裹》重量",IF(AND(Sheet1!O130&lt;Sheet2!$X$7,Sheet1!P130&lt;Sheet2!$Y$7,Sheet1!Q130&lt;Sheet2!$Z$7),IF(Sheet1!R130+Sheet2!$AB$6&gt;=Sheet2!$AA$6,Sheet2!$W$7,IF(AND(Sheet1!O130&lt;Sheet2!$X$6,Sheet1!P130&lt;Sheet2!$Y$6,Sheet1!Q130&lt;Sheet2!$Z$6),IF(Sheet1!R130+Sheet2!$AB$5&gt;=Sheet2!$AA$5,Sheet2!$W$6,IF(AND(Sheet1!O130&lt;Sheet2!$X$5,Sheet1!P130&lt;Sheet2!$Y$5,Sheet1!Q130&lt;Sheet2!$Z$5),IF(Sheet1!R130+Sheet2!$AB$4&gt;=Sheet2!$AA$4,Sheet2!$W$5,IF(AND(Sheet1!O130&lt;Sheet2!$X$4,Sheet1!P130&lt;Sheet2!$Y$4,Sheet1!Q130&lt;Sheet2!$Z$4),Sheet2!$W$4,Sheet2!$W$5)),Sheet2!$W$6)),Sheet2!$W$7)),"超出《标准包裹》尺寸"))</f>
        <v>标准包裹</v>
      </c>
      <c r="T130" s="69">
        <f t="shared" si="35"/>
        <v>8.71868333333333</v>
      </c>
      <c r="Y130" s="76"/>
    </row>
    <row r="131" ht="15" customHeight="1" spans="1:25">
      <c r="A131" s="46"/>
      <c r="B131" s="47"/>
      <c r="C131" s="45" t="s">
        <v>33</v>
      </c>
      <c r="D131" s="39">
        <f>IF(S131=Sheet2!$W$4,INDEX(Sheet2!$J$5:$Q$5,1,MATCH(Sheet1!C131,Sheet2!$J$3:$Q$3,0)),IF(S131=Sheet2!$W$5,INDEX(Sheet2!$J$6:$Q$8,MATCH(Sheet1!R131,Sheet2!$H$6:$H$8,1),MATCH(Sheet1!C131,Sheet2!$J$3:$Q$3,0)),IF(S131=Sheet2!$W$6,INDEX(Sheet2!$J$9:$Q$9,1,MATCH(Sheet1!C131,Sheet2!$J$3:$Q$3,0)),IF(S131=Sheet2!$W$7,INDEX(Sheet2!$J$10:$Q$24,MATCH(Sheet1!R131,Sheet2!$H$10:$H$24,1),MATCH(Sheet1!C131,Sheet2!$J$3:$Q$3,0)),"ERR COUNTRY!"))))</f>
        <v>4.82</v>
      </c>
      <c r="E131" s="52">
        <f t="shared" si="21"/>
        <v>2.3985</v>
      </c>
      <c r="F131" s="53" t="s">
        <v>30</v>
      </c>
      <c r="G131" s="52">
        <f t="shared" si="34"/>
        <v>2.665</v>
      </c>
      <c r="H131" s="52">
        <f t="shared" si="23"/>
        <v>2.9085</v>
      </c>
      <c r="I131" s="52" t="s">
        <v>30</v>
      </c>
      <c r="J131" s="52">
        <f>IF(OR(C131=Sheet2!$A$10),0,L131*0.2)</f>
        <v>3.198</v>
      </c>
      <c r="K131" s="52">
        <f t="shared" si="24"/>
        <v>6.1065</v>
      </c>
      <c r="L131" s="58">
        <v>15.99</v>
      </c>
      <c r="M131" s="52">
        <f>R131*$B$1</f>
        <v>7.6</v>
      </c>
      <c r="N131" s="24">
        <v>8</v>
      </c>
      <c r="O131" s="24">
        <v>24</v>
      </c>
      <c r="P131" s="24">
        <v>22</v>
      </c>
      <c r="Q131" s="24">
        <v>5</v>
      </c>
      <c r="R131" s="24">
        <v>200</v>
      </c>
      <c r="S131" s="26" t="str">
        <f>IF(Sheet1!R131+Sheet2!$AB$7&gt;=Sheet2!$AA$7,"超出《标准包裹》重量",IF(AND(Sheet1!O131&lt;Sheet2!$X$7,Sheet1!P131&lt;Sheet2!$Y$7,Sheet1!Q131&lt;Sheet2!$Z$7),IF(Sheet1!R131+Sheet2!$AB$6&gt;=Sheet2!$AA$6,Sheet2!$W$7,IF(AND(Sheet1!O131&lt;Sheet2!$X$6,Sheet1!P131&lt;Sheet2!$Y$6,Sheet1!Q131&lt;Sheet2!$Z$6),IF(Sheet1!R131+Sheet2!$AB$5&gt;=Sheet2!$AA$5,Sheet2!$W$6,IF(AND(Sheet1!O131&lt;Sheet2!$X$5,Sheet1!P131&lt;Sheet2!$Y$5,Sheet1!Q131&lt;Sheet2!$Z$5),IF(Sheet1!R131+Sheet2!$AB$4&gt;=Sheet2!$AA$4,Sheet2!$W$5,IF(AND(Sheet1!O131&lt;Sheet2!$X$4,Sheet1!P131&lt;Sheet2!$Y$4,Sheet1!Q131&lt;Sheet2!$Z$4),Sheet2!$W$4,Sheet2!$W$5)),Sheet2!$W$6)),Sheet2!$W$7)),"超出《标准包裹》尺寸"))</f>
        <v>标准包裹</v>
      </c>
      <c r="T131" s="69">
        <f t="shared" si="35"/>
        <v>5.05035</v>
      </c>
      <c r="W131" s="75"/>
      <c r="X131" s="75"/>
      <c r="Y131" s="76"/>
    </row>
    <row r="132" ht="15" customHeight="1" spans="1:25">
      <c r="A132" s="46"/>
      <c r="B132" s="47"/>
      <c r="C132" s="45" t="s">
        <v>34</v>
      </c>
      <c r="D132" s="39">
        <f>IF(S132=Sheet2!$W$4,INDEX(Sheet2!$J$5:$Q$5,1,MATCH(Sheet1!C132,Sheet2!$J$3:$Q$3,0)),IF(S132=Sheet2!$W$5,INDEX(Sheet2!$J$6:$Q$8,MATCH(Sheet1!R132,Sheet2!$H$6:$H$8,1),MATCH(Sheet1!C132,Sheet2!$J$3:$Q$3,0)),IF(S132=Sheet2!$W$6,INDEX(Sheet2!$J$9:$Q$9,1,MATCH(Sheet1!C132,Sheet2!$J$3:$Q$3,0)),IF(S132=Sheet2!$W$7,INDEX(Sheet2!$J$10:$Q$24,MATCH(Sheet1!R132,Sheet2!$H$10:$H$24,1),MATCH(Sheet1!C132,Sheet2!$J$3:$Q$3,0)),"ERR COUNTRY!"))))</f>
        <v>4.1</v>
      </c>
      <c r="E132" s="52">
        <f t="shared" si="21"/>
        <v>2.2485</v>
      </c>
      <c r="F132" s="53" t="s">
        <v>30</v>
      </c>
      <c r="G132" s="52">
        <f t="shared" si="34"/>
        <v>2.49833333333333</v>
      </c>
      <c r="H132" s="52">
        <f t="shared" si="23"/>
        <v>3.14516666666667</v>
      </c>
      <c r="I132" s="52" t="s">
        <v>30</v>
      </c>
      <c r="J132" s="52">
        <f>IF(OR(C132=Sheet2!$A$10),0,L132*0.2)</f>
        <v>2.998</v>
      </c>
      <c r="K132" s="52">
        <f t="shared" si="24"/>
        <v>6.14316666666667</v>
      </c>
      <c r="L132" s="58">
        <v>14.99</v>
      </c>
      <c r="M132" s="52">
        <f>R132*$B$1</f>
        <v>7.6</v>
      </c>
      <c r="N132" s="24">
        <v>8</v>
      </c>
      <c r="O132" s="24">
        <v>24</v>
      </c>
      <c r="P132" s="24">
        <v>22</v>
      </c>
      <c r="Q132" s="24">
        <v>5</v>
      </c>
      <c r="R132" s="24">
        <v>200</v>
      </c>
      <c r="S132" s="26" t="str">
        <f>IF(Sheet1!R132+Sheet2!$AB$7&gt;=Sheet2!$AA$7,"超出《标准包裹》重量",IF(AND(Sheet1!O132&lt;Sheet2!$X$7,Sheet1!P132&lt;Sheet2!$Y$7,Sheet1!Q132&lt;Sheet2!$Z$7),IF(Sheet1!R132+Sheet2!$AB$6&gt;=Sheet2!$AA$6,Sheet2!$W$7,IF(AND(Sheet1!O132&lt;Sheet2!$X$6,Sheet1!P132&lt;Sheet2!$Y$6,Sheet1!Q132&lt;Sheet2!$Z$6),IF(Sheet1!R132+Sheet2!$AB$5&gt;=Sheet2!$AA$5,Sheet2!$W$6,IF(AND(Sheet1!O132&lt;Sheet2!$X$5,Sheet1!P132&lt;Sheet2!$Y$5,Sheet1!Q132&lt;Sheet2!$Z$5),IF(Sheet1!R132+Sheet2!$AB$4&gt;=Sheet2!$AA$4,Sheet2!$W$5,IF(AND(Sheet1!O132&lt;Sheet2!$X$4,Sheet1!P132&lt;Sheet2!$Y$4,Sheet1!Q132&lt;Sheet2!$Z$4),Sheet2!$W$4,Sheet2!$W$5)),Sheet2!$W$6)),Sheet2!$W$7)),"超出《标准包裹》尺寸"))</f>
        <v>标准包裹</v>
      </c>
      <c r="T132" s="69">
        <f t="shared" si="35"/>
        <v>6.73068333333333</v>
      </c>
      <c r="Y132" s="76"/>
    </row>
    <row r="133" ht="15" customHeight="1" spans="1:25">
      <c r="A133" s="46"/>
      <c r="B133" s="47"/>
      <c r="C133" s="45" t="s">
        <v>35</v>
      </c>
      <c r="D133" s="39">
        <f>IF(S133=Sheet2!$W$4,INDEX(Sheet2!$J$5:$Q$5,1,MATCH(Sheet1!C133,Sheet2!$J$3:$Q$3,0)),IF(S133=Sheet2!$W$5,INDEX(Sheet2!$J$6:$Q$8,MATCH(Sheet1!R133,Sheet2!$H$6:$H$8,1),MATCH(Sheet1!C133,Sheet2!$J$3:$Q$3,0)),IF(S133=Sheet2!$W$6,INDEX(Sheet2!$J$9:$Q$9,1,MATCH(Sheet1!C133,Sheet2!$J$3:$Q$3,0)),IF(S133=Sheet2!$W$7,INDEX(Sheet2!$J$10:$Q$24,MATCH(Sheet1!R133,Sheet2!$H$10:$H$24,1),MATCH(Sheet1!C133,Sheet2!$J$3:$Q$3,0)),"ERR COUNTRY!"))))</f>
        <v>3.16</v>
      </c>
      <c r="E133" s="52">
        <f t="shared" si="21"/>
        <v>2.0985</v>
      </c>
      <c r="F133" s="53" t="s">
        <v>30</v>
      </c>
      <c r="G133" s="52">
        <f t="shared" si="34"/>
        <v>2.33166666666667</v>
      </c>
      <c r="H133" s="52">
        <f t="shared" si="23"/>
        <v>3.60183333333333</v>
      </c>
      <c r="I133" s="52" t="s">
        <v>30</v>
      </c>
      <c r="J133" s="52">
        <f>IF(OR(C133=Sheet2!$A$10),0,L133*0.2)</f>
        <v>2.798</v>
      </c>
      <c r="K133" s="52">
        <f t="shared" si="24"/>
        <v>6.39983333333333</v>
      </c>
      <c r="L133" s="58">
        <v>13.99</v>
      </c>
      <c r="M133" s="52">
        <f>R133*$B$1</f>
        <v>7.6</v>
      </c>
      <c r="N133" s="24">
        <v>8</v>
      </c>
      <c r="O133" s="24">
        <v>24</v>
      </c>
      <c r="P133" s="24">
        <v>22</v>
      </c>
      <c r="Q133" s="24">
        <v>5</v>
      </c>
      <c r="R133" s="24">
        <v>200</v>
      </c>
      <c r="S133" s="26" t="str">
        <f>IF(Sheet1!R133+Sheet2!$AB$7&gt;=Sheet2!$AA$7,"超出《标准包裹》重量",IF(AND(Sheet1!O133&lt;Sheet2!$X$7,Sheet1!P133&lt;Sheet2!$Y$7,Sheet1!Q133&lt;Sheet2!$Z$7),IF(Sheet1!R133+Sheet2!$AB$6&gt;=Sheet2!$AA$6,Sheet2!$W$7,IF(AND(Sheet1!O133&lt;Sheet2!$X$6,Sheet1!P133&lt;Sheet2!$Y$6,Sheet1!Q133&lt;Sheet2!$Z$6),IF(Sheet1!R133+Sheet2!$AB$5&gt;=Sheet2!$AA$5,Sheet2!$W$6,IF(AND(Sheet1!O133&lt;Sheet2!$X$5,Sheet1!P133&lt;Sheet2!$Y$5,Sheet1!Q133&lt;Sheet2!$Z$5),IF(Sheet1!R133+Sheet2!$AB$4&gt;=Sheet2!$AA$4,Sheet2!$W$5,IF(AND(Sheet1!O133&lt;Sheet2!$X$4,Sheet1!P133&lt;Sheet2!$Y$4,Sheet1!Q133&lt;Sheet2!$Z$4),Sheet2!$W$4,Sheet2!$W$5)),Sheet2!$W$6)),Sheet2!$W$7)),"超出《标准包裹》尺寸"))</f>
        <v>标准包裹</v>
      </c>
      <c r="T133" s="69">
        <f t="shared" si="35"/>
        <v>9.97301666666667</v>
      </c>
      <c r="Y133" s="76"/>
    </row>
    <row r="134" ht="15" customHeight="1" spans="1:25">
      <c r="A134" s="46"/>
      <c r="B134" s="47"/>
      <c r="C134" s="45" t="s">
        <v>36</v>
      </c>
      <c r="D134" s="39">
        <f>IF(S134=Sheet2!$W$4,INDEX(Sheet2!$J$5:$Q$5,1,MATCH(Sheet1!C134,Sheet2!$J$3:$Q$3,0)),IF(S134=Sheet2!$W$5,INDEX(Sheet2!$J$6:$Q$8,MATCH(Sheet1!R134,Sheet2!$H$6:$H$8,1),MATCH(Sheet1!C134,Sheet2!$J$3:$Q$3,0)),IF(S134=Sheet2!$W$6,INDEX(Sheet2!$J$9:$Q$9,1,MATCH(Sheet1!C134,Sheet2!$J$3:$Q$3,0)),IF(S134=Sheet2!$W$7,INDEX(Sheet2!$J$10:$Q$24,MATCH(Sheet1!R134,Sheet2!$H$10:$H$24,1),MATCH(Sheet1!C134,Sheet2!$J$3:$Q$3,0)),"ERR COUNTRY!"))))</f>
        <v>42.91</v>
      </c>
      <c r="E134" s="52">
        <f t="shared" si="21"/>
        <v>21.3</v>
      </c>
      <c r="F134" s="53" t="s">
        <v>30</v>
      </c>
      <c r="G134" s="52">
        <f t="shared" si="34"/>
        <v>23.6666666666667</v>
      </c>
      <c r="H134" s="52">
        <f t="shared" si="23"/>
        <v>25.7233333333333</v>
      </c>
      <c r="I134" s="52" t="s">
        <v>30</v>
      </c>
      <c r="J134" s="52">
        <f>IF(OR(C134=Sheet2!$A$10),0,L134*0.2)</f>
        <v>28.4</v>
      </c>
      <c r="K134" s="52">
        <f t="shared" si="24"/>
        <v>54.1233333333333</v>
      </c>
      <c r="L134" s="58">
        <v>142</v>
      </c>
      <c r="M134" s="52">
        <f>R134*$B$1</f>
        <v>7.6</v>
      </c>
      <c r="N134" s="24">
        <v>8</v>
      </c>
      <c r="O134" s="24">
        <v>24</v>
      </c>
      <c r="P134" s="24">
        <v>22</v>
      </c>
      <c r="Q134" s="24">
        <v>5</v>
      </c>
      <c r="R134" s="24">
        <v>200</v>
      </c>
      <c r="S134" s="26" t="str">
        <f>IF(Sheet1!R134+Sheet2!$AB$7&gt;=Sheet2!$AA$7,"超出《标准包裹》重量",IF(AND(Sheet1!O134&lt;Sheet2!$X$7,Sheet1!P134&lt;Sheet2!$Y$7,Sheet1!Q134&lt;Sheet2!$Z$7),IF(Sheet1!R134+Sheet2!$AB$6&gt;=Sheet2!$AA$6,Sheet2!$W$7,IF(AND(Sheet1!O134&lt;Sheet2!$X$6,Sheet1!P134&lt;Sheet2!$Y$6,Sheet1!Q134&lt;Sheet2!$Z$6),IF(Sheet1!R134+Sheet2!$AB$5&gt;=Sheet2!$AA$5,Sheet2!$W$6,IF(AND(Sheet1!O134&lt;Sheet2!$X$5,Sheet1!P134&lt;Sheet2!$Y$5,Sheet1!Q134&lt;Sheet2!$Z$5),IF(Sheet1!R134+Sheet2!$AB$4&gt;=Sheet2!$AA$4,Sheet2!$W$5,IF(AND(Sheet1!O134&lt;Sheet2!$X$4,Sheet1!P134&lt;Sheet2!$Y$4,Sheet1!Q134&lt;Sheet2!$Z$4),Sheet2!$W$4,Sheet2!$W$5)),Sheet2!$W$6)),Sheet2!$W$7)),"超出《标准包裹》尺寸"))</f>
        <v>标准包裹</v>
      </c>
      <c r="T134" s="69">
        <f>H134*0.63-N134-M134</f>
        <v>0.605700000000008</v>
      </c>
      <c r="Y134" s="76"/>
    </row>
    <row r="135" ht="15" customHeight="1" spans="1:25">
      <c r="A135" s="46"/>
      <c r="B135" s="47"/>
      <c r="C135" s="45" t="s">
        <v>37</v>
      </c>
      <c r="D135" s="39">
        <f>IF(S135=Sheet2!$W$4,INDEX(Sheet2!$J$5:$Q$5,1,MATCH(Sheet1!C135,Sheet2!$J$3:$Q$3,0)),IF(S135=Sheet2!$W$5,INDEX(Sheet2!$J$6:$Q$8,MATCH(Sheet1!R135,Sheet2!$H$6:$H$8,1),MATCH(Sheet1!C135,Sheet2!$J$3:$Q$3,0)),IF(S135=Sheet2!$W$6,INDEX(Sheet2!$J$9:$Q$9,1,MATCH(Sheet1!C135,Sheet2!$J$3:$Q$3,0)),IF(S135=Sheet2!$W$7,INDEX(Sheet2!$J$10:$Q$24,MATCH(Sheet1!R135,Sheet2!$H$10:$H$24,1),MATCH(Sheet1!C135,Sheet2!$J$3:$Q$3,0)),"ERR COUNTRY!"))))</f>
        <v>5.66</v>
      </c>
      <c r="E135" s="52">
        <f t="shared" si="21"/>
        <v>7.2</v>
      </c>
      <c r="F135" s="53" t="s">
        <v>30</v>
      </c>
      <c r="G135" s="52">
        <f t="shared" si="34"/>
        <v>8</v>
      </c>
      <c r="H135" s="52">
        <f t="shared" si="23"/>
        <v>17.54</v>
      </c>
      <c r="I135" s="52" t="s">
        <v>30</v>
      </c>
      <c r="J135" s="52">
        <f>IF(OR(C135=Sheet2!$A$10),0,L135*0.2)</f>
        <v>9.6</v>
      </c>
      <c r="K135" s="52">
        <f t="shared" si="24"/>
        <v>27.14</v>
      </c>
      <c r="L135" s="58">
        <v>48</v>
      </c>
      <c r="M135" s="52">
        <f>R135*$B$1</f>
        <v>7.6</v>
      </c>
      <c r="N135" s="24">
        <v>8</v>
      </c>
      <c r="O135" s="24">
        <v>24</v>
      </c>
      <c r="P135" s="24">
        <v>22</v>
      </c>
      <c r="Q135" s="24">
        <v>5</v>
      </c>
      <c r="R135" s="24">
        <v>200</v>
      </c>
      <c r="S135" s="26" t="str">
        <f>IF(Sheet1!R135+Sheet2!$AB$7&gt;=Sheet2!$AA$7,"超出《标准包裹》重量",IF(AND(Sheet1!O135&lt;Sheet2!$X$7,Sheet1!P135&lt;Sheet2!$Y$7,Sheet1!Q135&lt;Sheet2!$Z$7),IF(Sheet1!R135+Sheet2!$AB$6&gt;=Sheet2!$AA$6,Sheet2!$W$7,IF(AND(Sheet1!O135&lt;Sheet2!$X$6,Sheet1!P135&lt;Sheet2!$Y$6,Sheet1!Q135&lt;Sheet2!$Z$6),IF(Sheet1!R135+Sheet2!$AB$5&gt;=Sheet2!$AA$5,Sheet2!$W$6,IF(AND(Sheet1!O135&lt;Sheet2!$X$5,Sheet1!P135&lt;Sheet2!$Y$5,Sheet1!Q135&lt;Sheet2!$Z$5),IF(Sheet1!R135+Sheet2!$AB$4&gt;=Sheet2!$AA$4,Sheet2!$W$5,IF(AND(Sheet1!O135&lt;Sheet2!$X$4,Sheet1!P135&lt;Sheet2!$Y$4,Sheet1!Q135&lt;Sheet2!$Z$4),Sheet2!$W$4,Sheet2!$W$5)),Sheet2!$W$6)),Sheet2!$W$7)),"超出《标准包裹》尺寸"))</f>
        <v>标准包裹</v>
      </c>
      <c r="T135" s="69">
        <f>H135*1.38-N135-M135</f>
        <v>8.6052</v>
      </c>
      <c r="Y135" s="76"/>
    </row>
    <row r="136" spans="1:25">
      <c r="A136" s="46"/>
      <c r="B136" s="47"/>
      <c r="C136" s="45"/>
      <c r="D136" s="39">
        <v>0</v>
      </c>
      <c r="E136" s="52">
        <f t="shared" si="21"/>
        <v>9</v>
      </c>
      <c r="F136" s="53" t="s">
        <v>39</v>
      </c>
      <c r="G136" s="52">
        <v>0</v>
      </c>
      <c r="H136" s="52">
        <f t="shared" si="23"/>
        <v>51</v>
      </c>
      <c r="I136" s="52" t="s">
        <v>30</v>
      </c>
      <c r="J136" s="52">
        <f>IF(OR(C136=Sheet2!$A$10),0,L136*0.2)</f>
        <v>0</v>
      </c>
      <c r="K136" s="52">
        <f t="shared" si="24"/>
        <v>51</v>
      </c>
      <c r="L136" s="59">
        <v>60</v>
      </c>
      <c r="M136" s="52">
        <f>R136*$B$1</f>
        <v>7.6</v>
      </c>
      <c r="N136" s="24">
        <v>8</v>
      </c>
      <c r="O136" s="64"/>
      <c r="P136" s="64"/>
      <c r="Q136" s="64"/>
      <c r="R136" s="24">
        <v>200</v>
      </c>
      <c r="S136" s="70"/>
      <c r="T136" s="69">
        <f>H136*0.44-N136-M136</f>
        <v>6.84</v>
      </c>
      <c r="Y136" s="76"/>
    </row>
    <row r="137" ht="15" customHeight="1" spans="1:25">
      <c r="A137" s="77"/>
      <c r="B137" s="44"/>
      <c r="C137" s="45" t="s">
        <v>29</v>
      </c>
      <c r="D137" s="39">
        <f>IF(S137=Sheet2!$W$4,INDEX(Sheet2!$J$5:$Q$5,1,MATCH(Sheet1!C137,Sheet2!$J$3:$Q$3,0)),IF(S137=Sheet2!$W$5,INDEX(Sheet2!$J$6:$Q$8,MATCH(Sheet1!R137,Sheet2!$H$6:$H$8,1),MATCH(Sheet1!C137,Sheet2!$J$3:$Q$3,0)),IF(S137=Sheet2!$W$6,INDEX(Sheet2!$J$9:$Q$9,1,MATCH(Sheet1!C137,Sheet2!$J$3:$Q$3,0)),IF(S137=Sheet2!$W$7,INDEX(Sheet2!$J$10:$Q$24,MATCH(Sheet1!R137,Sheet2!$H$10:$H$24,1),MATCH(Sheet1!C137,Sheet2!$J$3:$Q$3,0)),"ERR COUNTRY!"))))</f>
        <v>2.77</v>
      </c>
      <c r="E137" s="52">
        <f t="shared" si="21"/>
        <v>1.7985</v>
      </c>
      <c r="F137" s="53" t="s">
        <v>30</v>
      </c>
      <c r="G137" s="52">
        <f t="shared" ref="G137:G144" si="36">L137-L137/(1+20%)</f>
        <v>1.99833333333333</v>
      </c>
      <c r="H137" s="52">
        <f t="shared" si="23"/>
        <v>3.02516666666667</v>
      </c>
      <c r="I137" s="52" t="s">
        <v>30</v>
      </c>
      <c r="J137" s="52">
        <f>IF(OR(C137=Sheet2!$A$10),0,L137*0.2)</f>
        <v>2.398</v>
      </c>
      <c r="K137" s="52">
        <f t="shared" si="24"/>
        <v>5.42316666666667</v>
      </c>
      <c r="L137" s="58">
        <v>11.99</v>
      </c>
      <c r="M137" s="52">
        <f>R137*$B$1</f>
        <v>7.6</v>
      </c>
      <c r="N137" s="24">
        <v>8</v>
      </c>
      <c r="O137" s="24">
        <v>24</v>
      </c>
      <c r="P137" s="24">
        <v>22</v>
      </c>
      <c r="Q137" s="24">
        <v>5</v>
      </c>
      <c r="R137" s="24">
        <v>200</v>
      </c>
      <c r="S137" s="26" t="str">
        <f>IF(Sheet1!R137+Sheet2!$AB$7&gt;=Sheet2!$AA$7,"超出《标准包裹》重量",IF(AND(Sheet1!O137&lt;Sheet2!$X$7,Sheet1!P137&lt;Sheet2!$Y$7,Sheet1!Q137&lt;Sheet2!$Z$7),IF(Sheet1!R137+Sheet2!$AB$6&gt;=Sheet2!$AA$6,Sheet2!$W$7,IF(AND(Sheet1!O137&lt;Sheet2!$X$6,Sheet1!P137&lt;Sheet2!$Y$6,Sheet1!Q137&lt;Sheet2!$Z$6),IF(Sheet1!R137+Sheet2!$AB$5&gt;=Sheet2!$AA$5,Sheet2!$W$6,IF(AND(Sheet1!O137&lt;Sheet2!$X$5,Sheet1!P137&lt;Sheet2!$Y$5,Sheet1!Q137&lt;Sheet2!$Z$5),IF(Sheet1!R137+Sheet2!$AB$4&gt;=Sheet2!$AA$4,Sheet2!$W$5,IF(AND(Sheet1!O137&lt;Sheet2!$X$4,Sheet1!P137&lt;Sheet2!$Y$4,Sheet1!Q137&lt;Sheet2!$Z$4),Sheet2!$W$4,Sheet2!$W$5)),Sheet2!$W$6)),Sheet2!$W$7)),"超出《标准包裹》尺寸"))</f>
        <v>标准包裹</v>
      </c>
      <c r="T137" s="69">
        <f>H137*8.3-N137-M137</f>
        <v>9.50888333333334</v>
      </c>
      <c r="W137" s="74"/>
      <c r="X137" s="74"/>
      <c r="Y137" s="76"/>
    </row>
    <row r="138" ht="15" customHeight="1" spans="1:25">
      <c r="A138" s="46"/>
      <c r="B138" s="47"/>
      <c r="C138" s="45" t="s">
        <v>31</v>
      </c>
      <c r="D138" s="39">
        <f>IF(S138=Sheet2!$W$4,INDEX(Sheet2!$J$5:$Q$5,1,MATCH(Sheet1!C138,Sheet2!$J$3:$Q$3,0)),IF(S138=Sheet2!$W$5,INDEX(Sheet2!$J$6:$Q$8,MATCH(Sheet1!R138,Sheet2!$H$6:$H$8,1),MATCH(Sheet1!C138,Sheet2!$J$3:$Q$3,0)),IF(S138=Sheet2!$W$6,INDEX(Sheet2!$J$9:$Q$9,1,MATCH(Sheet1!C138,Sheet2!$J$3:$Q$3,0)),IF(S138=Sheet2!$W$7,INDEX(Sheet2!$J$10:$Q$24,MATCH(Sheet1!R138,Sheet2!$H$10:$H$24,1),MATCH(Sheet1!C138,Sheet2!$J$3:$Q$3,0)),"ERR COUNTRY!"))))</f>
        <v>3.73</v>
      </c>
      <c r="E138" s="52">
        <f t="shared" si="21"/>
        <v>2.0985</v>
      </c>
      <c r="F138" s="53" t="s">
        <v>30</v>
      </c>
      <c r="G138" s="52">
        <f t="shared" si="36"/>
        <v>2.33166666666667</v>
      </c>
      <c r="H138" s="52">
        <f t="shared" si="23"/>
        <v>3.03183333333333</v>
      </c>
      <c r="I138" s="52" t="s">
        <v>30</v>
      </c>
      <c r="J138" s="52">
        <f>IF(OR(C138=Sheet2!$A$10),0,L138*0.2)</f>
        <v>2.798</v>
      </c>
      <c r="K138" s="52">
        <f t="shared" si="24"/>
        <v>5.82983333333333</v>
      </c>
      <c r="L138" s="58">
        <v>13.99</v>
      </c>
      <c r="M138" s="52">
        <f>R138*$B$1</f>
        <v>7.6</v>
      </c>
      <c r="N138" s="24">
        <v>8</v>
      </c>
      <c r="O138" s="24">
        <v>24</v>
      </c>
      <c r="P138" s="24">
        <v>22</v>
      </c>
      <c r="Q138" s="24">
        <v>5</v>
      </c>
      <c r="R138" s="24">
        <v>200</v>
      </c>
      <c r="S138" s="26" t="str">
        <f>IF(Sheet1!R138+Sheet2!$AB$7&gt;=Sheet2!$AA$7,"超出《标准包裹》重量",IF(AND(Sheet1!O138&lt;Sheet2!$X$7,Sheet1!P138&lt;Sheet2!$Y$7,Sheet1!Q138&lt;Sheet2!$Z$7),IF(Sheet1!R138+Sheet2!$AB$6&gt;=Sheet2!$AA$6,Sheet2!$W$7,IF(AND(Sheet1!O138&lt;Sheet2!$X$6,Sheet1!P138&lt;Sheet2!$Y$6,Sheet1!Q138&lt;Sheet2!$Z$6),IF(Sheet1!R138+Sheet2!$AB$5&gt;=Sheet2!$AA$5,Sheet2!$W$6,IF(AND(Sheet1!O138&lt;Sheet2!$X$5,Sheet1!P138&lt;Sheet2!$Y$5,Sheet1!Q138&lt;Sheet2!$Z$5),IF(Sheet1!R138+Sheet2!$AB$4&gt;=Sheet2!$AA$4,Sheet2!$W$5,IF(AND(Sheet1!O138&lt;Sheet2!$X$4,Sheet1!P138&lt;Sheet2!$Y$4,Sheet1!Q138&lt;Sheet2!$Z$4),Sheet2!$W$4,Sheet2!$W$5)),Sheet2!$W$6)),Sheet2!$W$7)),"超出《标准包裹》尺寸"))</f>
        <v>标准包裹</v>
      </c>
      <c r="T138" s="69">
        <f t="shared" ref="T138:T142" si="37">H138*7.1-N138-M138</f>
        <v>5.92601666666666</v>
      </c>
      <c r="X138" s="74"/>
      <c r="Y138" s="76"/>
    </row>
    <row r="139" ht="15" customHeight="1" spans="1:25">
      <c r="A139" s="46"/>
      <c r="B139" s="47"/>
      <c r="C139" s="45" t="s">
        <v>32</v>
      </c>
      <c r="D139" s="39">
        <f>IF(S139=Sheet2!$W$4,INDEX(Sheet2!$J$5:$Q$5,1,MATCH(Sheet1!C139,Sheet2!$J$3:$Q$3,0)),IF(S139=Sheet2!$W$5,INDEX(Sheet2!$J$6:$Q$8,MATCH(Sheet1!R139,Sheet2!$H$6:$H$8,1),MATCH(Sheet1!C139,Sheet2!$J$3:$Q$3,0)),IF(S139=Sheet2!$W$6,INDEX(Sheet2!$J$9:$Q$9,1,MATCH(Sheet1!C139,Sheet2!$J$3:$Q$3,0)),IF(S139=Sheet2!$W$7,INDEX(Sheet2!$J$10:$Q$24,MATCH(Sheet1!R139,Sheet2!$H$10:$H$24,1),MATCH(Sheet1!C139,Sheet2!$J$3:$Q$3,0)),"ERR COUNTRY!"))))</f>
        <v>5.27</v>
      </c>
      <c r="E139" s="52">
        <f t="shared" si="21"/>
        <v>2.6985</v>
      </c>
      <c r="F139" s="53" t="s">
        <v>30</v>
      </c>
      <c r="G139" s="52">
        <f t="shared" si="36"/>
        <v>2.99833333333333</v>
      </c>
      <c r="H139" s="52">
        <f t="shared" si="23"/>
        <v>3.42516666666667</v>
      </c>
      <c r="I139" s="52" t="s">
        <v>30</v>
      </c>
      <c r="J139" s="52">
        <f>IF(OR(C139=Sheet2!$A$10),0,L139*0.2)</f>
        <v>3.598</v>
      </c>
      <c r="K139" s="52">
        <f t="shared" si="24"/>
        <v>7.02316666666667</v>
      </c>
      <c r="L139" s="58">
        <v>17.99</v>
      </c>
      <c r="M139" s="52">
        <f>R139*$B$1</f>
        <v>7.6</v>
      </c>
      <c r="N139" s="24">
        <v>8</v>
      </c>
      <c r="O139" s="24">
        <v>24</v>
      </c>
      <c r="P139" s="24">
        <v>22</v>
      </c>
      <c r="Q139" s="24">
        <v>5</v>
      </c>
      <c r="R139" s="24">
        <v>200</v>
      </c>
      <c r="S139" s="26" t="str">
        <f>IF(Sheet1!R139+Sheet2!$AB$7&gt;=Sheet2!$AA$7,"超出《标准包裹》重量",IF(AND(Sheet1!O139&lt;Sheet2!$X$7,Sheet1!P139&lt;Sheet2!$Y$7,Sheet1!Q139&lt;Sheet2!$Z$7),IF(Sheet1!R139+Sheet2!$AB$6&gt;=Sheet2!$AA$6,Sheet2!$W$7,IF(AND(Sheet1!O139&lt;Sheet2!$X$6,Sheet1!P139&lt;Sheet2!$Y$6,Sheet1!Q139&lt;Sheet2!$Z$6),IF(Sheet1!R139+Sheet2!$AB$5&gt;=Sheet2!$AA$5,Sheet2!$W$6,IF(AND(Sheet1!O139&lt;Sheet2!$X$5,Sheet1!P139&lt;Sheet2!$Y$5,Sheet1!Q139&lt;Sheet2!$Z$5),IF(Sheet1!R139+Sheet2!$AB$4&gt;=Sheet2!$AA$4,Sheet2!$W$5,IF(AND(Sheet1!O139&lt;Sheet2!$X$4,Sheet1!P139&lt;Sheet2!$Y$4,Sheet1!Q139&lt;Sheet2!$Z$4),Sheet2!$W$4,Sheet2!$W$5)),Sheet2!$W$6)),Sheet2!$W$7)),"超出《标准包裹》尺寸"))</f>
        <v>标准包裹</v>
      </c>
      <c r="T139" s="69">
        <f t="shared" si="37"/>
        <v>8.71868333333333</v>
      </c>
      <c r="Y139" s="76"/>
    </row>
    <row r="140" ht="15" customHeight="1" spans="1:25">
      <c r="A140" s="46"/>
      <c r="B140" s="47"/>
      <c r="C140" s="45" t="s">
        <v>33</v>
      </c>
      <c r="D140" s="39">
        <f>IF(S140=Sheet2!$W$4,INDEX(Sheet2!$J$5:$Q$5,1,MATCH(Sheet1!C140,Sheet2!$J$3:$Q$3,0)),IF(S140=Sheet2!$W$5,INDEX(Sheet2!$J$6:$Q$8,MATCH(Sheet1!R140,Sheet2!$H$6:$H$8,1),MATCH(Sheet1!C140,Sheet2!$J$3:$Q$3,0)),IF(S140=Sheet2!$W$6,INDEX(Sheet2!$J$9:$Q$9,1,MATCH(Sheet1!C140,Sheet2!$J$3:$Q$3,0)),IF(S140=Sheet2!$W$7,INDEX(Sheet2!$J$10:$Q$24,MATCH(Sheet1!R140,Sheet2!$H$10:$H$24,1),MATCH(Sheet1!C140,Sheet2!$J$3:$Q$3,0)),"ERR COUNTRY!"))))</f>
        <v>4.82</v>
      </c>
      <c r="E140" s="52">
        <f t="shared" si="21"/>
        <v>2.3985</v>
      </c>
      <c r="F140" s="53" t="s">
        <v>30</v>
      </c>
      <c r="G140" s="52">
        <f t="shared" si="36"/>
        <v>2.665</v>
      </c>
      <c r="H140" s="52">
        <f t="shared" si="23"/>
        <v>2.9085</v>
      </c>
      <c r="I140" s="52" t="s">
        <v>30</v>
      </c>
      <c r="J140" s="52">
        <f>IF(OR(C140=Sheet2!$A$10),0,L140*0.2)</f>
        <v>3.198</v>
      </c>
      <c r="K140" s="52">
        <f t="shared" si="24"/>
        <v>6.1065</v>
      </c>
      <c r="L140" s="58">
        <v>15.99</v>
      </c>
      <c r="M140" s="52">
        <f>R140*$B$1</f>
        <v>7.6</v>
      </c>
      <c r="N140" s="24">
        <v>8</v>
      </c>
      <c r="O140" s="24">
        <v>24</v>
      </c>
      <c r="P140" s="24">
        <v>22</v>
      </c>
      <c r="Q140" s="24">
        <v>5</v>
      </c>
      <c r="R140" s="24">
        <v>200</v>
      </c>
      <c r="S140" s="26" t="str">
        <f>IF(Sheet1!R140+Sheet2!$AB$7&gt;=Sheet2!$AA$7,"超出《标准包裹》重量",IF(AND(Sheet1!O140&lt;Sheet2!$X$7,Sheet1!P140&lt;Sheet2!$Y$7,Sheet1!Q140&lt;Sheet2!$Z$7),IF(Sheet1!R140+Sheet2!$AB$6&gt;=Sheet2!$AA$6,Sheet2!$W$7,IF(AND(Sheet1!O140&lt;Sheet2!$X$6,Sheet1!P140&lt;Sheet2!$Y$6,Sheet1!Q140&lt;Sheet2!$Z$6),IF(Sheet1!R140+Sheet2!$AB$5&gt;=Sheet2!$AA$5,Sheet2!$W$6,IF(AND(Sheet1!O140&lt;Sheet2!$X$5,Sheet1!P140&lt;Sheet2!$Y$5,Sheet1!Q140&lt;Sheet2!$Z$5),IF(Sheet1!R140+Sheet2!$AB$4&gt;=Sheet2!$AA$4,Sheet2!$W$5,IF(AND(Sheet1!O140&lt;Sheet2!$X$4,Sheet1!P140&lt;Sheet2!$Y$4,Sheet1!Q140&lt;Sheet2!$Z$4),Sheet2!$W$4,Sheet2!$W$5)),Sheet2!$W$6)),Sheet2!$W$7)),"超出《标准包裹》尺寸"))</f>
        <v>标准包裹</v>
      </c>
      <c r="T140" s="69">
        <f t="shared" si="37"/>
        <v>5.05035</v>
      </c>
      <c r="W140" s="75"/>
      <c r="X140" s="75"/>
      <c r="Y140" s="76"/>
    </row>
    <row r="141" ht="15" customHeight="1" spans="1:25">
      <c r="A141" s="46"/>
      <c r="B141" s="47"/>
      <c r="C141" s="45" t="s">
        <v>34</v>
      </c>
      <c r="D141" s="39">
        <f>IF(S141=Sheet2!$W$4,INDEX(Sheet2!$J$5:$Q$5,1,MATCH(Sheet1!C141,Sheet2!$J$3:$Q$3,0)),IF(S141=Sheet2!$W$5,INDEX(Sheet2!$J$6:$Q$8,MATCH(Sheet1!R141,Sheet2!$H$6:$H$8,1),MATCH(Sheet1!C141,Sheet2!$J$3:$Q$3,0)),IF(S141=Sheet2!$W$6,INDEX(Sheet2!$J$9:$Q$9,1,MATCH(Sheet1!C141,Sheet2!$J$3:$Q$3,0)),IF(S141=Sheet2!$W$7,INDEX(Sheet2!$J$10:$Q$24,MATCH(Sheet1!R141,Sheet2!$H$10:$H$24,1),MATCH(Sheet1!C141,Sheet2!$J$3:$Q$3,0)),"ERR COUNTRY!"))))</f>
        <v>4.1</v>
      </c>
      <c r="E141" s="52">
        <f t="shared" si="21"/>
        <v>2.2485</v>
      </c>
      <c r="F141" s="53" t="s">
        <v>30</v>
      </c>
      <c r="G141" s="52">
        <f t="shared" si="36"/>
        <v>2.49833333333333</v>
      </c>
      <c r="H141" s="52">
        <f t="shared" si="23"/>
        <v>3.14516666666667</v>
      </c>
      <c r="I141" s="52" t="s">
        <v>30</v>
      </c>
      <c r="J141" s="52">
        <f>IF(OR(C141=Sheet2!$A$10),0,L141*0.2)</f>
        <v>2.998</v>
      </c>
      <c r="K141" s="52">
        <f t="shared" si="24"/>
        <v>6.14316666666667</v>
      </c>
      <c r="L141" s="58">
        <v>14.99</v>
      </c>
      <c r="M141" s="52">
        <f>R141*$B$1</f>
        <v>7.6</v>
      </c>
      <c r="N141" s="24">
        <v>8</v>
      </c>
      <c r="O141" s="24">
        <v>24</v>
      </c>
      <c r="P141" s="24">
        <v>22</v>
      </c>
      <c r="Q141" s="24">
        <v>5</v>
      </c>
      <c r="R141" s="24">
        <v>200</v>
      </c>
      <c r="S141" s="26" t="str">
        <f>IF(Sheet1!R141+Sheet2!$AB$7&gt;=Sheet2!$AA$7,"超出《标准包裹》重量",IF(AND(Sheet1!O141&lt;Sheet2!$X$7,Sheet1!P141&lt;Sheet2!$Y$7,Sheet1!Q141&lt;Sheet2!$Z$7),IF(Sheet1!R141+Sheet2!$AB$6&gt;=Sheet2!$AA$6,Sheet2!$W$7,IF(AND(Sheet1!O141&lt;Sheet2!$X$6,Sheet1!P141&lt;Sheet2!$Y$6,Sheet1!Q141&lt;Sheet2!$Z$6),IF(Sheet1!R141+Sheet2!$AB$5&gt;=Sheet2!$AA$5,Sheet2!$W$6,IF(AND(Sheet1!O141&lt;Sheet2!$X$5,Sheet1!P141&lt;Sheet2!$Y$5,Sheet1!Q141&lt;Sheet2!$Z$5),IF(Sheet1!R141+Sheet2!$AB$4&gt;=Sheet2!$AA$4,Sheet2!$W$5,IF(AND(Sheet1!O141&lt;Sheet2!$X$4,Sheet1!P141&lt;Sheet2!$Y$4,Sheet1!Q141&lt;Sheet2!$Z$4),Sheet2!$W$4,Sheet2!$W$5)),Sheet2!$W$6)),Sheet2!$W$7)),"超出《标准包裹》尺寸"))</f>
        <v>标准包裹</v>
      </c>
      <c r="T141" s="69">
        <f t="shared" si="37"/>
        <v>6.73068333333333</v>
      </c>
      <c r="Y141" s="76"/>
    </row>
    <row r="142" ht="15" customHeight="1" spans="1:25">
      <c r="A142" s="46"/>
      <c r="B142" s="47"/>
      <c r="C142" s="45" t="s">
        <v>35</v>
      </c>
      <c r="D142" s="39">
        <f>IF(S142=Sheet2!$W$4,INDEX(Sheet2!$J$5:$Q$5,1,MATCH(Sheet1!C142,Sheet2!$J$3:$Q$3,0)),IF(S142=Sheet2!$W$5,INDEX(Sheet2!$J$6:$Q$8,MATCH(Sheet1!R142,Sheet2!$H$6:$H$8,1),MATCH(Sheet1!C142,Sheet2!$J$3:$Q$3,0)),IF(S142=Sheet2!$W$6,INDEX(Sheet2!$J$9:$Q$9,1,MATCH(Sheet1!C142,Sheet2!$J$3:$Q$3,0)),IF(S142=Sheet2!$W$7,INDEX(Sheet2!$J$10:$Q$24,MATCH(Sheet1!R142,Sheet2!$H$10:$H$24,1),MATCH(Sheet1!C142,Sheet2!$J$3:$Q$3,0)),"ERR COUNTRY!"))))</f>
        <v>3.16</v>
      </c>
      <c r="E142" s="52">
        <f t="shared" si="21"/>
        <v>2.0985</v>
      </c>
      <c r="F142" s="53" t="s">
        <v>30</v>
      </c>
      <c r="G142" s="52">
        <f t="shared" si="36"/>
        <v>2.33166666666667</v>
      </c>
      <c r="H142" s="52">
        <f t="shared" si="23"/>
        <v>3.60183333333333</v>
      </c>
      <c r="I142" s="52" t="s">
        <v>30</v>
      </c>
      <c r="J142" s="52">
        <f>IF(OR(C142=Sheet2!$A$10),0,L142*0.2)</f>
        <v>2.798</v>
      </c>
      <c r="K142" s="52">
        <f t="shared" si="24"/>
        <v>6.39983333333333</v>
      </c>
      <c r="L142" s="58">
        <v>13.99</v>
      </c>
      <c r="M142" s="52">
        <f>R142*$B$1</f>
        <v>7.6</v>
      </c>
      <c r="N142" s="24">
        <v>8</v>
      </c>
      <c r="O142" s="24">
        <v>24</v>
      </c>
      <c r="P142" s="24">
        <v>22</v>
      </c>
      <c r="Q142" s="24">
        <v>5</v>
      </c>
      <c r="R142" s="24">
        <v>200</v>
      </c>
      <c r="S142" s="26" t="str">
        <f>IF(Sheet1!R142+Sheet2!$AB$7&gt;=Sheet2!$AA$7,"超出《标准包裹》重量",IF(AND(Sheet1!O142&lt;Sheet2!$X$7,Sheet1!P142&lt;Sheet2!$Y$7,Sheet1!Q142&lt;Sheet2!$Z$7),IF(Sheet1!R142+Sheet2!$AB$6&gt;=Sheet2!$AA$6,Sheet2!$W$7,IF(AND(Sheet1!O142&lt;Sheet2!$X$6,Sheet1!P142&lt;Sheet2!$Y$6,Sheet1!Q142&lt;Sheet2!$Z$6),IF(Sheet1!R142+Sheet2!$AB$5&gt;=Sheet2!$AA$5,Sheet2!$W$6,IF(AND(Sheet1!O142&lt;Sheet2!$X$5,Sheet1!P142&lt;Sheet2!$Y$5,Sheet1!Q142&lt;Sheet2!$Z$5),IF(Sheet1!R142+Sheet2!$AB$4&gt;=Sheet2!$AA$4,Sheet2!$W$5,IF(AND(Sheet1!O142&lt;Sheet2!$X$4,Sheet1!P142&lt;Sheet2!$Y$4,Sheet1!Q142&lt;Sheet2!$Z$4),Sheet2!$W$4,Sheet2!$W$5)),Sheet2!$W$6)),Sheet2!$W$7)),"超出《标准包裹》尺寸"))</f>
        <v>标准包裹</v>
      </c>
      <c r="T142" s="69">
        <f t="shared" si="37"/>
        <v>9.97301666666667</v>
      </c>
      <c r="Y142" s="76"/>
    </row>
    <row r="143" ht="15" customHeight="1" spans="1:25">
      <c r="A143" s="46"/>
      <c r="B143" s="47"/>
      <c r="C143" s="45" t="s">
        <v>36</v>
      </c>
      <c r="D143" s="39">
        <f>IF(S143=Sheet2!$W$4,INDEX(Sheet2!$J$5:$Q$5,1,MATCH(Sheet1!C143,Sheet2!$J$3:$Q$3,0)),IF(S143=Sheet2!$W$5,INDEX(Sheet2!$J$6:$Q$8,MATCH(Sheet1!R143,Sheet2!$H$6:$H$8,1),MATCH(Sheet1!C143,Sheet2!$J$3:$Q$3,0)),IF(S143=Sheet2!$W$6,INDEX(Sheet2!$J$9:$Q$9,1,MATCH(Sheet1!C143,Sheet2!$J$3:$Q$3,0)),IF(S143=Sheet2!$W$7,INDEX(Sheet2!$J$10:$Q$24,MATCH(Sheet1!R143,Sheet2!$H$10:$H$24,1),MATCH(Sheet1!C143,Sheet2!$J$3:$Q$3,0)),"ERR COUNTRY!"))))</f>
        <v>42.91</v>
      </c>
      <c r="E143" s="52">
        <f t="shared" si="21"/>
        <v>21.3</v>
      </c>
      <c r="F143" s="53" t="s">
        <v>30</v>
      </c>
      <c r="G143" s="52">
        <f t="shared" si="36"/>
        <v>23.6666666666667</v>
      </c>
      <c r="H143" s="52">
        <f t="shared" si="23"/>
        <v>25.7233333333333</v>
      </c>
      <c r="I143" s="52" t="s">
        <v>30</v>
      </c>
      <c r="J143" s="52">
        <f>IF(OR(C143=Sheet2!$A$10),0,L143*0.2)</f>
        <v>28.4</v>
      </c>
      <c r="K143" s="52">
        <f t="shared" si="24"/>
        <v>54.1233333333333</v>
      </c>
      <c r="L143" s="58">
        <v>142</v>
      </c>
      <c r="M143" s="52">
        <f>R143*$B$1</f>
        <v>7.6</v>
      </c>
      <c r="N143" s="24">
        <v>8</v>
      </c>
      <c r="O143" s="24">
        <v>24</v>
      </c>
      <c r="P143" s="24">
        <v>22</v>
      </c>
      <c r="Q143" s="24">
        <v>5</v>
      </c>
      <c r="R143" s="24">
        <v>200</v>
      </c>
      <c r="S143" s="26" t="str">
        <f>IF(Sheet1!R143+Sheet2!$AB$7&gt;=Sheet2!$AA$7,"超出《标准包裹》重量",IF(AND(Sheet1!O143&lt;Sheet2!$X$7,Sheet1!P143&lt;Sheet2!$Y$7,Sheet1!Q143&lt;Sheet2!$Z$7),IF(Sheet1!R143+Sheet2!$AB$6&gt;=Sheet2!$AA$6,Sheet2!$W$7,IF(AND(Sheet1!O143&lt;Sheet2!$X$6,Sheet1!P143&lt;Sheet2!$Y$6,Sheet1!Q143&lt;Sheet2!$Z$6),IF(Sheet1!R143+Sheet2!$AB$5&gt;=Sheet2!$AA$5,Sheet2!$W$6,IF(AND(Sheet1!O143&lt;Sheet2!$X$5,Sheet1!P143&lt;Sheet2!$Y$5,Sheet1!Q143&lt;Sheet2!$Z$5),IF(Sheet1!R143+Sheet2!$AB$4&gt;=Sheet2!$AA$4,Sheet2!$W$5,IF(AND(Sheet1!O143&lt;Sheet2!$X$4,Sheet1!P143&lt;Sheet2!$Y$4,Sheet1!Q143&lt;Sheet2!$Z$4),Sheet2!$W$4,Sheet2!$W$5)),Sheet2!$W$6)),Sheet2!$W$7)),"超出《标准包裹》尺寸"))</f>
        <v>标准包裹</v>
      </c>
      <c r="T143" s="69">
        <f>H143*0.63-N143-M143</f>
        <v>0.605700000000008</v>
      </c>
      <c r="Y143" s="76"/>
    </row>
    <row r="144" ht="15" customHeight="1" spans="1:25">
      <c r="A144" s="46"/>
      <c r="B144" s="47"/>
      <c r="C144" s="45" t="s">
        <v>37</v>
      </c>
      <c r="D144" s="39">
        <f>IF(S144=Sheet2!$W$4,INDEX(Sheet2!$J$5:$Q$5,1,MATCH(Sheet1!C144,Sheet2!$J$3:$Q$3,0)),IF(S144=Sheet2!$W$5,INDEX(Sheet2!$J$6:$Q$8,MATCH(Sheet1!R144,Sheet2!$H$6:$H$8,1),MATCH(Sheet1!C144,Sheet2!$J$3:$Q$3,0)),IF(S144=Sheet2!$W$6,INDEX(Sheet2!$J$9:$Q$9,1,MATCH(Sheet1!C144,Sheet2!$J$3:$Q$3,0)),IF(S144=Sheet2!$W$7,INDEX(Sheet2!$J$10:$Q$24,MATCH(Sheet1!R144,Sheet2!$H$10:$H$24,1),MATCH(Sheet1!C144,Sheet2!$J$3:$Q$3,0)),"ERR COUNTRY!"))))</f>
        <v>5.66</v>
      </c>
      <c r="E144" s="52">
        <f t="shared" si="21"/>
        <v>7.2</v>
      </c>
      <c r="F144" s="53" t="s">
        <v>30</v>
      </c>
      <c r="G144" s="52">
        <f t="shared" si="36"/>
        <v>8</v>
      </c>
      <c r="H144" s="52">
        <f t="shared" si="23"/>
        <v>17.54</v>
      </c>
      <c r="I144" s="52" t="s">
        <v>30</v>
      </c>
      <c r="J144" s="52">
        <f>IF(OR(C144=Sheet2!$A$10),0,L144*0.2)</f>
        <v>9.6</v>
      </c>
      <c r="K144" s="52">
        <f t="shared" si="24"/>
        <v>27.14</v>
      </c>
      <c r="L144" s="58">
        <v>48</v>
      </c>
      <c r="M144" s="52">
        <f>R144*$B$1</f>
        <v>7.6</v>
      </c>
      <c r="N144" s="24">
        <v>8</v>
      </c>
      <c r="O144" s="24">
        <v>24</v>
      </c>
      <c r="P144" s="24">
        <v>22</v>
      </c>
      <c r="Q144" s="24">
        <v>5</v>
      </c>
      <c r="R144" s="24">
        <v>200</v>
      </c>
      <c r="S144" s="26" t="str">
        <f>IF(Sheet1!R144+Sheet2!$AB$7&gt;=Sheet2!$AA$7,"超出《标准包裹》重量",IF(AND(Sheet1!O144&lt;Sheet2!$X$7,Sheet1!P144&lt;Sheet2!$Y$7,Sheet1!Q144&lt;Sheet2!$Z$7),IF(Sheet1!R144+Sheet2!$AB$6&gt;=Sheet2!$AA$6,Sheet2!$W$7,IF(AND(Sheet1!O144&lt;Sheet2!$X$6,Sheet1!P144&lt;Sheet2!$Y$6,Sheet1!Q144&lt;Sheet2!$Z$6),IF(Sheet1!R144+Sheet2!$AB$5&gt;=Sheet2!$AA$5,Sheet2!$W$6,IF(AND(Sheet1!O144&lt;Sheet2!$X$5,Sheet1!P144&lt;Sheet2!$Y$5,Sheet1!Q144&lt;Sheet2!$Z$5),IF(Sheet1!R144+Sheet2!$AB$4&gt;=Sheet2!$AA$4,Sheet2!$W$5,IF(AND(Sheet1!O144&lt;Sheet2!$X$4,Sheet1!P144&lt;Sheet2!$Y$4,Sheet1!Q144&lt;Sheet2!$Z$4),Sheet2!$W$4,Sheet2!$W$5)),Sheet2!$W$6)),Sheet2!$W$7)),"超出《标准包裹》尺寸"))</f>
        <v>标准包裹</v>
      </c>
      <c r="T144" s="69">
        <f>H144*1.38-N144-M144</f>
        <v>8.6052</v>
      </c>
      <c r="Y144" s="76"/>
    </row>
    <row r="145" spans="1:25">
      <c r="A145" s="46"/>
      <c r="B145" s="47"/>
      <c r="C145" s="45"/>
      <c r="D145" s="39">
        <v>0</v>
      </c>
      <c r="E145" s="52">
        <f t="shared" si="21"/>
        <v>9</v>
      </c>
      <c r="F145" s="53" t="s">
        <v>39</v>
      </c>
      <c r="G145" s="52">
        <v>0</v>
      </c>
      <c r="H145" s="52">
        <f t="shared" si="23"/>
        <v>51</v>
      </c>
      <c r="I145" s="52" t="s">
        <v>30</v>
      </c>
      <c r="J145" s="52">
        <f>IF(OR(C145=Sheet2!$A$10),0,L145*0.2)</f>
        <v>0</v>
      </c>
      <c r="K145" s="52">
        <f t="shared" si="24"/>
        <v>51</v>
      </c>
      <c r="L145" s="59">
        <v>60</v>
      </c>
      <c r="M145" s="52">
        <f>R145*$B$1</f>
        <v>7.6</v>
      </c>
      <c r="N145" s="24">
        <v>8</v>
      </c>
      <c r="O145" s="64"/>
      <c r="P145" s="64"/>
      <c r="Q145" s="64"/>
      <c r="R145" s="24">
        <v>200</v>
      </c>
      <c r="S145" s="70"/>
      <c r="T145" s="69">
        <f>H145*0.44-N145-M145</f>
        <v>6.84</v>
      </c>
      <c r="Y145" s="76"/>
    </row>
    <row r="146" ht="15" customHeight="1" spans="1:25">
      <c r="A146" s="77"/>
      <c r="B146" s="44"/>
      <c r="C146" s="45" t="s">
        <v>29</v>
      </c>
      <c r="D146" s="39">
        <f>IF(S146=Sheet2!$W$4,INDEX(Sheet2!$J$5:$Q$5,1,MATCH(Sheet1!C146,Sheet2!$J$3:$Q$3,0)),IF(S146=Sheet2!$W$5,INDEX(Sheet2!$J$6:$Q$8,MATCH(Sheet1!R146,Sheet2!$H$6:$H$8,1),MATCH(Sheet1!C146,Sheet2!$J$3:$Q$3,0)),IF(S146=Sheet2!$W$6,INDEX(Sheet2!$J$9:$Q$9,1,MATCH(Sheet1!C146,Sheet2!$J$3:$Q$3,0)),IF(S146=Sheet2!$W$7,INDEX(Sheet2!$J$10:$Q$24,MATCH(Sheet1!R146,Sheet2!$H$10:$H$24,1),MATCH(Sheet1!C146,Sheet2!$J$3:$Q$3,0)),"ERR COUNTRY!"))))</f>
        <v>2.77</v>
      </c>
      <c r="E146" s="52">
        <f t="shared" si="21"/>
        <v>1.7985</v>
      </c>
      <c r="F146" s="53" t="s">
        <v>30</v>
      </c>
      <c r="G146" s="52">
        <f t="shared" ref="G146:G153" si="38">L146-L146/(1+20%)</f>
        <v>1.99833333333333</v>
      </c>
      <c r="H146" s="52">
        <f t="shared" si="23"/>
        <v>3.02516666666667</v>
      </c>
      <c r="I146" s="52" t="s">
        <v>30</v>
      </c>
      <c r="J146" s="52">
        <f>IF(OR(C146=Sheet2!$A$10),0,L146*0.2)</f>
        <v>2.398</v>
      </c>
      <c r="K146" s="52">
        <f t="shared" si="24"/>
        <v>5.42316666666667</v>
      </c>
      <c r="L146" s="58">
        <v>11.99</v>
      </c>
      <c r="M146" s="52">
        <f>R146*$B$1</f>
        <v>7.6</v>
      </c>
      <c r="N146" s="24">
        <v>8</v>
      </c>
      <c r="O146" s="24">
        <v>24</v>
      </c>
      <c r="P146" s="24">
        <v>22</v>
      </c>
      <c r="Q146" s="24">
        <v>5</v>
      </c>
      <c r="R146" s="24">
        <v>200</v>
      </c>
      <c r="S146" s="26" t="str">
        <f>IF(Sheet1!R146+Sheet2!$AB$7&gt;=Sheet2!$AA$7,"超出《标准包裹》重量",IF(AND(Sheet1!O146&lt;Sheet2!$X$7,Sheet1!P146&lt;Sheet2!$Y$7,Sheet1!Q146&lt;Sheet2!$Z$7),IF(Sheet1!R146+Sheet2!$AB$6&gt;=Sheet2!$AA$6,Sheet2!$W$7,IF(AND(Sheet1!O146&lt;Sheet2!$X$6,Sheet1!P146&lt;Sheet2!$Y$6,Sheet1!Q146&lt;Sheet2!$Z$6),IF(Sheet1!R146+Sheet2!$AB$5&gt;=Sheet2!$AA$5,Sheet2!$W$6,IF(AND(Sheet1!O146&lt;Sheet2!$X$5,Sheet1!P146&lt;Sheet2!$Y$5,Sheet1!Q146&lt;Sheet2!$Z$5),IF(Sheet1!R146+Sheet2!$AB$4&gt;=Sheet2!$AA$4,Sheet2!$W$5,IF(AND(Sheet1!O146&lt;Sheet2!$X$4,Sheet1!P146&lt;Sheet2!$Y$4,Sheet1!Q146&lt;Sheet2!$Z$4),Sheet2!$W$4,Sheet2!$W$5)),Sheet2!$W$6)),Sheet2!$W$7)),"超出《标准包裹》尺寸"))</f>
        <v>标准包裹</v>
      </c>
      <c r="T146" s="69">
        <f>H146*8.3-N146-M146</f>
        <v>9.50888333333334</v>
      </c>
      <c r="W146" s="74"/>
      <c r="X146" s="74"/>
      <c r="Y146" s="76"/>
    </row>
    <row r="147" ht="15" customHeight="1" spans="1:25">
      <c r="A147" s="46"/>
      <c r="B147" s="47"/>
      <c r="C147" s="45" t="s">
        <v>31</v>
      </c>
      <c r="D147" s="39">
        <f>IF(S147=Sheet2!$W$4,INDEX(Sheet2!$J$5:$Q$5,1,MATCH(Sheet1!C147,Sheet2!$J$3:$Q$3,0)),IF(S147=Sheet2!$W$5,INDEX(Sheet2!$J$6:$Q$8,MATCH(Sheet1!R147,Sheet2!$H$6:$H$8,1),MATCH(Sheet1!C147,Sheet2!$J$3:$Q$3,0)),IF(S147=Sheet2!$W$6,INDEX(Sheet2!$J$9:$Q$9,1,MATCH(Sheet1!C147,Sheet2!$J$3:$Q$3,0)),IF(S147=Sheet2!$W$7,INDEX(Sheet2!$J$10:$Q$24,MATCH(Sheet1!R147,Sheet2!$H$10:$H$24,1),MATCH(Sheet1!C147,Sheet2!$J$3:$Q$3,0)),"ERR COUNTRY!"))))</f>
        <v>3.73</v>
      </c>
      <c r="E147" s="52">
        <f t="shared" ref="E147:E208" si="39">L147*0.15</f>
        <v>2.0985</v>
      </c>
      <c r="F147" s="53" t="s">
        <v>30</v>
      </c>
      <c r="G147" s="52">
        <f t="shared" si="38"/>
        <v>2.33166666666667</v>
      </c>
      <c r="H147" s="52">
        <f t="shared" ref="H147:H208" si="40">IF(F147="是",IF(I147="是",L147-SUM(D147,E147,G147,J147),L147-SUM(D147,E147,G147)),IF(I147="是",L147-SUM(D147,E147,J147),L147-SUM(D147,E147)))</f>
        <v>3.03183333333333</v>
      </c>
      <c r="I147" s="52" t="s">
        <v>30</v>
      </c>
      <c r="J147" s="52">
        <f>IF(OR(C147=Sheet2!$A$10),0,L147*0.2)</f>
        <v>2.798</v>
      </c>
      <c r="K147" s="52">
        <f t="shared" ref="K147:K208" si="41">H147+J147</f>
        <v>5.82983333333333</v>
      </c>
      <c r="L147" s="58">
        <v>13.99</v>
      </c>
      <c r="M147" s="52">
        <f>R147*$B$1</f>
        <v>7.6</v>
      </c>
      <c r="N147" s="24">
        <v>8</v>
      </c>
      <c r="O147" s="24">
        <v>24</v>
      </c>
      <c r="P147" s="24">
        <v>22</v>
      </c>
      <c r="Q147" s="24">
        <v>5</v>
      </c>
      <c r="R147" s="24">
        <v>200</v>
      </c>
      <c r="S147" s="26" t="str">
        <f>IF(Sheet1!R147+Sheet2!$AB$7&gt;=Sheet2!$AA$7,"超出《标准包裹》重量",IF(AND(Sheet1!O147&lt;Sheet2!$X$7,Sheet1!P147&lt;Sheet2!$Y$7,Sheet1!Q147&lt;Sheet2!$Z$7),IF(Sheet1!R147+Sheet2!$AB$6&gt;=Sheet2!$AA$6,Sheet2!$W$7,IF(AND(Sheet1!O147&lt;Sheet2!$X$6,Sheet1!P147&lt;Sheet2!$Y$6,Sheet1!Q147&lt;Sheet2!$Z$6),IF(Sheet1!R147+Sheet2!$AB$5&gt;=Sheet2!$AA$5,Sheet2!$W$6,IF(AND(Sheet1!O147&lt;Sheet2!$X$5,Sheet1!P147&lt;Sheet2!$Y$5,Sheet1!Q147&lt;Sheet2!$Z$5),IF(Sheet1!R147+Sheet2!$AB$4&gt;=Sheet2!$AA$4,Sheet2!$W$5,IF(AND(Sheet1!O147&lt;Sheet2!$X$4,Sheet1!P147&lt;Sheet2!$Y$4,Sheet1!Q147&lt;Sheet2!$Z$4),Sheet2!$W$4,Sheet2!$W$5)),Sheet2!$W$6)),Sheet2!$W$7)),"超出《标准包裹》尺寸"))</f>
        <v>标准包裹</v>
      </c>
      <c r="T147" s="69">
        <f t="shared" ref="T147:T151" si="42">H147*7.1-N147-M147</f>
        <v>5.92601666666666</v>
      </c>
      <c r="X147" s="74"/>
      <c r="Y147" s="76"/>
    </row>
    <row r="148" ht="15" customHeight="1" spans="1:25">
      <c r="A148" s="46"/>
      <c r="B148" s="47"/>
      <c r="C148" s="45" t="s">
        <v>32</v>
      </c>
      <c r="D148" s="39">
        <f>IF(S148=Sheet2!$W$4,INDEX(Sheet2!$J$5:$Q$5,1,MATCH(Sheet1!C148,Sheet2!$J$3:$Q$3,0)),IF(S148=Sheet2!$W$5,INDEX(Sheet2!$J$6:$Q$8,MATCH(Sheet1!R148,Sheet2!$H$6:$H$8,1),MATCH(Sheet1!C148,Sheet2!$J$3:$Q$3,0)),IF(S148=Sheet2!$W$6,INDEX(Sheet2!$J$9:$Q$9,1,MATCH(Sheet1!C148,Sheet2!$J$3:$Q$3,0)),IF(S148=Sheet2!$W$7,INDEX(Sheet2!$J$10:$Q$24,MATCH(Sheet1!R148,Sheet2!$H$10:$H$24,1),MATCH(Sheet1!C148,Sheet2!$J$3:$Q$3,0)),"ERR COUNTRY!"))))</f>
        <v>5.27</v>
      </c>
      <c r="E148" s="52">
        <f t="shared" si="39"/>
        <v>2.6985</v>
      </c>
      <c r="F148" s="53" t="s">
        <v>30</v>
      </c>
      <c r="G148" s="52">
        <f t="shared" si="38"/>
        <v>2.99833333333333</v>
      </c>
      <c r="H148" s="52">
        <f t="shared" si="40"/>
        <v>3.42516666666667</v>
      </c>
      <c r="I148" s="52" t="s">
        <v>30</v>
      </c>
      <c r="J148" s="52">
        <f>IF(OR(C148=Sheet2!$A$10),0,L148*0.2)</f>
        <v>3.598</v>
      </c>
      <c r="K148" s="52">
        <f t="shared" si="41"/>
        <v>7.02316666666667</v>
      </c>
      <c r="L148" s="58">
        <v>17.99</v>
      </c>
      <c r="M148" s="52">
        <f>R148*$B$1</f>
        <v>7.6</v>
      </c>
      <c r="N148" s="24">
        <v>8</v>
      </c>
      <c r="O148" s="24">
        <v>24</v>
      </c>
      <c r="P148" s="24">
        <v>22</v>
      </c>
      <c r="Q148" s="24">
        <v>5</v>
      </c>
      <c r="R148" s="24">
        <v>200</v>
      </c>
      <c r="S148" s="26" t="str">
        <f>IF(Sheet1!R148+Sheet2!$AB$7&gt;=Sheet2!$AA$7,"超出《标准包裹》重量",IF(AND(Sheet1!O148&lt;Sheet2!$X$7,Sheet1!P148&lt;Sheet2!$Y$7,Sheet1!Q148&lt;Sheet2!$Z$7),IF(Sheet1!R148+Sheet2!$AB$6&gt;=Sheet2!$AA$6,Sheet2!$W$7,IF(AND(Sheet1!O148&lt;Sheet2!$X$6,Sheet1!P148&lt;Sheet2!$Y$6,Sheet1!Q148&lt;Sheet2!$Z$6),IF(Sheet1!R148+Sheet2!$AB$5&gt;=Sheet2!$AA$5,Sheet2!$W$6,IF(AND(Sheet1!O148&lt;Sheet2!$X$5,Sheet1!P148&lt;Sheet2!$Y$5,Sheet1!Q148&lt;Sheet2!$Z$5),IF(Sheet1!R148+Sheet2!$AB$4&gt;=Sheet2!$AA$4,Sheet2!$W$5,IF(AND(Sheet1!O148&lt;Sheet2!$X$4,Sheet1!P148&lt;Sheet2!$Y$4,Sheet1!Q148&lt;Sheet2!$Z$4),Sheet2!$W$4,Sheet2!$W$5)),Sheet2!$W$6)),Sheet2!$W$7)),"超出《标准包裹》尺寸"))</f>
        <v>标准包裹</v>
      </c>
      <c r="T148" s="69">
        <f t="shared" si="42"/>
        <v>8.71868333333333</v>
      </c>
      <c r="Y148" s="76"/>
    </row>
    <row r="149" ht="15" customHeight="1" spans="1:25">
      <c r="A149" s="46"/>
      <c r="B149" s="47"/>
      <c r="C149" s="45" t="s">
        <v>33</v>
      </c>
      <c r="D149" s="39">
        <f>IF(S149=Sheet2!$W$4,INDEX(Sheet2!$J$5:$Q$5,1,MATCH(Sheet1!C149,Sheet2!$J$3:$Q$3,0)),IF(S149=Sheet2!$W$5,INDEX(Sheet2!$J$6:$Q$8,MATCH(Sheet1!R149,Sheet2!$H$6:$H$8,1),MATCH(Sheet1!C149,Sheet2!$J$3:$Q$3,0)),IF(S149=Sheet2!$W$6,INDEX(Sheet2!$J$9:$Q$9,1,MATCH(Sheet1!C149,Sheet2!$J$3:$Q$3,0)),IF(S149=Sheet2!$W$7,INDEX(Sheet2!$J$10:$Q$24,MATCH(Sheet1!R149,Sheet2!$H$10:$H$24,1),MATCH(Sheet1!C149,Sheet2!$J$3:$Q$3,0)),"ERR COUNTRY!"))))</f>
        <v>4.82</v>
      </c>
      <c r="E149" s="52">
        <f t="shared" si="39"/>
        <v>2.3985</v>
      </c>
      <c r="F149" s="53" t="s">
        <v>30</v>
      </c>
      <c r="G149" s="52">
        <f t="shared" si="38"/>
        <v>2.665</v>
      </c>
      <c r="H149" s="52">
        <f t="shared" si="40"/>
        <v>2.9085</v>
      </c>
      <c r="I149" s="52" t="s">
        <v>30</v>
      </c>
      <c r="J149" s="52">
        <f>IF(OR(C149=Sheet2!$A$10),0,L149*0.2)</f>
        <v>3.198</v>
      </c>
      <c r="K149" s="52">
        <f t="shared" si="41"/>
        <v>6.1065</v>
      </c>
      <c r="L149" s="58">
        <v>15.99</v>
      </c>
      <c r="M149" s="52">
        <f>R149*$B$1</f>
        <v>7.6</v>
      </c>
      <c r="N149" s="24">
        <v>8</v>
      </c>
      <c r="O149" s="24">
        <v>24</v>
      </c>
      <c r="P149" s="24">
        <v>22</v>
      </c>
      <c r="Q149" s="24">
        <v>5</v>
      </c>
      <c r="R149" s="24">
        <v>200</v>
      </c>
      <c r="S149" s="26" t="str">
        <f>IF(Sheet1!R149+Sheet2!$AB$7&gt;=Sheet2!$AA$7,"超出《标准包裹》重量",IF(AND(Sheet1!O149&lt;Sheet2!$X$7,Sheet1!P149&lt;Sheet2!$Y$7,Sheet1!Q149&lt;Sheet2!$Z$7),IF(Sheet1!R149+Sheet2!$AB$6&gt;=Sheet2!$AA$6,Sheet2!$W$7,IF(AND(Sheet1!O149&lt;Sheet2!$X$6,Sheet1!P149&lt;Sheet2!$Y$6,Sheet1!Q149&lt;Sheet2!$Z$6),IF(Sheet1!R149+Sheet2!$AB$5&gt;=Sheet2!$AA$5,Sheet2!$W$6,IF(AND(Sheet1!O149&lt;Sheet2!$X$5,Sheet1!P149&lt;Sheet2!$Y$5,Sheet1!Q149&lt;Sheet2!$Z$5),IF(Sheet1!R149+Sheet2!$AB$4&gt;=Sheet2!$AA$4,Sheet2!$W$5,IF(AND(Sheet1!O149&lt;Sheet2!$X$4,Sheet1!P149&lt;Sheet2!$Y$4,Sheet1!Q149&lt;Sheet2!$Z$4),Sheet2!$W$4,Sheet2!$W$5)),Sheet2!$W$6)),Sheet2!$W$7)),"超出《标准包裹》尺寸"))</f>
        <v>标准包裹</v>
      </c>
      <c r="T149" s="69">
        <f t="shared" si="42"/>
        <v>5.05035</v>
      </c>
      <c r="W149" s="75"/>
      <c r="X149" s="75"/>
      <c r="Y149" s="76"/>
    </row>
    <row r="150" ht="15" customHeight="1" spans="1:25">
      <c r="A150" s="46"/>
      <c r="B150" s="47"/>
      <c r="C150" s="45" t="s">
        <v>34</v>
      </c>
      <c r="D150" s="39">
        <f>IF(S150=Sheet2!$W$4,INDEX(Sheet2!$J$5:$Q$5,1,MATCH(Sheet1!C150,Sheet2!$J$3:$Q$3,0)),IF(S150=Sheet2!$W$5,INDEX(Sheet2!$J$6:$Q$8,MATCH(Sheet1!R150,Sheet2!$H$6:$H$8,1),MATCH(Sheet1!C150,Sheet2!$J$3:$Q$3,0)),IF(S150=Sheet2!$W$6,INDEX(Sheet2!$J$9:$Q$9,1,MATCH(Sheet1!C150,Sheet2!$J$3:$Q$3,0)),IF(S150=Sheet2!$W$7,INDEX(Sheet2!$J$10:$Q$24,MATCH(Sheet1!R150,Sheet2!$H$10:$H$24,1),MATCH(Sheet1!C150,Sheet2!$J$3:$Q$3,0)),"ERR COUNTRY!"))))</f>
        <v>4.1</v>
      </c>
      <c r="E150" s="52">
        <f t="shared" si="39"/>
        <v>2.2485</v>
      </c>
      <c r="F150" s="53" t="s">
        <v>30</v>
      </c>
      <c r="G150" s="52">
        <f t="shared" si="38"/>
        <v>2.49833333333333</v>
      </c>
      <c r="H150" s="52">
        <f t="shared" si="40"/>
        <v>3.14516666666667</v>
      </c>
      <c r="I150" s="52" t="s">
        <v>30</v>
      </c>
      <c r="J150" s="52">
        <f>IF(OR(C150=Sheet2!$A$10),0,L150*0.2)</f>
        <v>2.998</v>
      </c>
      <c r="K150" s="52">
        <f t="shared" si="41"/>
        <v>6.14316666666667</v>
      </c>
      <c r="L150" s="58">
        <v>14.99</v>
      </c>
      <c r="M150" s="52">
        <f>R150*$B$1</f>
        <v>7.6</v>
      </c>
      <c r="N150" s="24">
        <v>8</v>
      </c>
      <c r="O150" s="24">
        <v>24</v>
      </c>
      <c r="P150" s="24">
        <v>22</v>
      </c>
      <c r="Q150" s="24">
        <v>5</v>
      </c>
      <c r="R150" s="24">
        <v>200</v>
      </c>
      <c r="S150" s="26" t="str">
        <f>IF(Sheet1!R150+Sheet2!$AB$7&gt;=Sheet2!$AA$7,"超出《标准包裹》重量",IF(AND(Sheet1!O150&lt;Sheet2!$X$7,Sheet1!P150&lt;Sheet2!$Y$7,Sheet1!Q150&lt;Sheet2!$Z$7),IF(Sheet1!R150+Sheet2!$AB$6&gt;=Sheet2!$AA$6,Sheet2!$W$7,IF(AND(Sheet1!O150&lt;Sheet2!$X$6,Sheet1!P150&lt;Sheet2!$Y$6,Sheet1!Q150&lt;Sheet2!$Z$6),IF(Sheet1!R150+Sheet2!$AB$5&gt;=Sheet2!$AA$5,Sheet2!$W$6,IF(AND(Sheet1!O150&lt;Sheet2!$X$5,Sheet1!P150&lt;Sheet2!$Y$5,Sheet1!Q150&lt;Sheet2!$Z$5),IF(Sheet1!R150+Sheet2!$AB$4&gt;=Sheet2!$AA$4,Sheet2!$W$5,IF(AND(Sheet1!O150&lt;Sheet2!$X$4,Sheet1!P150&lt;Sheet2!$Y$4,Sheet1!Q150&lt;Sheet2!$Z$4),Sheet2!$W$4,Sheet2!$W$5)),Sheet2!$W$6)),Sheet2!$W$7)),"超出《标准包裹》尺寸"))</f>
        <v>标准包裹</v>
      </c>
      <c r="T150" s="69">
        <f t="shared" si="42"/>
        <v>6.73068333333333</v>
      </c>
      <c r="Y150" s="76"/>
    </row>
    <row r="151" ht="15" customHeight="1" spans="1:25">
      <c r="A151" s="46"/>
      <c r="B151" s="47"/>
      <c r="C151" s="45" t="s">
        <v>35</v>
      </c>
      <c r="D151" s="39">
        <f>IF(S151=Sheet2!$W$4,INDEX(Sheet2!$J$5:$Q$5,1,MATCH(Sheet1!C151,Sheet2!$J$3:$Q$3,0)),IF(S151=Sheet2!$W$5,INDEX(Sheet2!$J$6:$Q$8,MATCH(Sheet1!R151,Sheet2!$H$6:$H$8,1),MATCH(Sheet1!C151,Sheet2!$J$3:$Q$3,0)),IF(S151=Sheet2!$W$6,INDEX(Sheet2!$J$9:$Q$9,1,MATCH(Sheet1!C151,Sheet2!$J$3:$Q$3,0)),IF(S151=Sheet2!$W$7,INDEX(Sheet2!$J$10:$Q$24,MATCH(Sheet1!R151,Sheet2!$H$10:$H$24,1),MATCH(Sheet1!C151,Sheet2!$J$3:$Q$3,0)),"ERR COUNTRY!"))))</f>
        <v>3.16</v>
      </c>
      <c r="E151" s="52">
        <f t="shared" si="39"/>
        <v>2.0985</v>
      </c>
      <c r="F151" s="53" t="s">
        <v>30</v>
      </c>
      <c r="G151" s="52">
        <f t="shared" si="38"/>
        <v>2.33166666666667</v>
      </c>
      <c r="H151" s="52">
        <f t="shared" si="40"/>
        <v>3.60183333333333</v>
      </c>
      <c r="I151" s="52" t="s">
        <v>30</v>
      </c>
      <c r="J151" s="52">
        <f>IF(OR(C151=Sheet2!$A$10),0,L151*0.2)</f>
        <v>2.798</v>
      </c>
      <c r="K151" s="52">
        <f t="shared" si="41"/>
        <v>6.39983333333333</v>
      </c>
      <c r="L151" s="58">
        <v>13.99</v>
      </c>
      <c r="M151" s="52">
        <f>R151*$B$1</f>
        <v>7.6</v>
      </c>
      <c r="N151" s="24">
        <v>8</v>
      </c>
      <c r="O151" s="24">
        <v>24</v>
      </c>
      <c r="P151" s="24">
        <v>22</v>
      </c>
      <c r="Q151" s="24">
        <v>5</v>
      </c>
      <c r="R151" s="24">
        <v>200</v>
      </c>
      <c r="S151" s="26" t="str">
        <f>IF(Sheet1!R151+Sheet2!$AB$7&gt;=Sheet2!$AA$7,"超出《标准包裹》重量",IF(AND(Sheet1!O151&lt;Sheet2!$X$7,Sheet1!P151&lt;Sheet2!$Y$7,Sheet1!Q151&lt;Sheet2!$Z$7),IF(Sheet1!R151+Sheet2!$AB$6&gt;=Sheet2!$AA$6,Sheet2!$W$7,IF(AND(Sheet1!O151&lt;Sheet2!$X$6,Sheet1!P151&lt;Sheet2!$Y$6,Sheet1!Q151&lt;Sheet2!$Z$6),IF(Sheet1!R151+Sheet2!$AB$5&gt;=Sheet2!$AA$5,Sheet2!$W$6,IF(AND(Sheet1!O151&lt;Sheet2!$X$5,Sheet1!P151&lt;Sheet2!$Y$5,Sheet1!Q151&lt;Sheet2!$Z$5),IF(Sheet1!R151+Sheet2!$AB$4&gt;=Sheet2!$AA$4,Sheet2!$W$5,IF(AND(Sheet1!O151&lt;Sheet2!$X$4,Sheet1!P151&lt;Sheet2!$Y$4,Sheet1!Q151&lt;Sheet2!$Z$4),Sheet2!$W$4,Sheet2!$W$5)),Sheet2!$W$6)),Sheet2!$W$7)),"超出《标准包裹》尺寸"))</f>
        <v>标准包裹</v>
      </c>
      <c r="T151" s="69">
        <f t="shared" si="42"/>
        <v>9.97301666666667</v>
      </c>
      <c r="Y151" s="76"/>
    </row>
    <row r="152" ht="15" customHeight="1" spans="1:25">
      <c r="A152" s="46"/>
      <c r="B152" s="47"/>
      <c r="C152" s="45" t="s">
        <v>36</v>
      </c>
      <c r="D152" s="39">
        <f>IF(S152=Sheet2!$W$4,INDEX(Sheet2!$J$5:$Q$5,1,MATCH(Sheet1!C152,Sheet2!$J$3:$Q$3,0)),IF(S152=Sheet2!$W$5,INDEX(Sheet2!$J$6:$Q$8,MATCH(Sheet1!R152,Sheet2!$H$6:$H$8,1),MATCH(Sheet1!C152,Sheet2!$J$3:$Q$3,0)),IF(S152=Sheet2!$W$6,INDEX(Sheet2!$J$9:$Q$9,1,MATCH(Sheet1!C152,Sheet2!$J$3:$Q$3,0)),IF(S152=Sheet2!$W$7,INDEX(Sheet2!$J$10:$Q$24,MATCH(Sheet1!R152,Sheet2!$H$10:$H$24,1),MATCH(Sheet1!C152,Sheet2!$J$3:$Q$3,0)),"ERR COUNTRY!"))))</f>
        <v>42.91</v>
      </c>
      <c r="E152" s="52">
        <f t="shared" si="39"/>
        <v>21.3</v>
      </c>
      <c r="F152" s="53" t="s">
        <v>30</v>
      </c>
      <c r="G152" s="52">
        <f t="shared" si="38"/>
        <v>23.6666666666667</v>
      </c>
      <c r="H152" s="52">
        <f t="shared" si="40"/>
        <v>25.7233333333333</v>
      </c>
      <c r="I152" s="52" t="s">
        <v>30</v>
      </c>
      <c r="J152" s="52">
        <f>IF(OR(C152=Sheet2!$A$10),0,L152*0.2)</f>
        <v>28.4</v>
      </c>
      <c r="K152" s="52">
        <f t="shared" si="41"/>
        <v>54.1233333333333</v>
      </c>
      <c r="L152" s="58">
        <v>142</v>
      </c>
      <c r="M152" s="52">
        <f>R152*$B$1</f>
        <v>7.6</v>
      </c>
      <c r="N152" s="24">
        <v>8</v>
      </c>
      <c r="O152" s="24">
        <v>24</v>
      </c>
      <c r="P152" s="24">
        <v>22</v>
      </c>
      <c r="Q152" s="24">
        <v>5</v>
      </c>
      <c r="R152" s="24">
        <v>200</v>
      </c>
      <c r="S152" s="26" t="str">
        <f>IF(Sheet1!R152+Sheet2!$AB$7&gt;=Sheet2!$AA$7,"超出《标准包裹》重量",IF(AND(Sheet1!O152&lt;Sheet2!$X$7,Sheet1!P152&lt;Sheet2!$Y$7,Sheet1!Q152&lt;Sheet2!$Z$7),IF(Sheet1!R152+Sheet2!$AB$6&gt;=Sheet2!$AA$6,Sheet2!$W$7,IF(AND(Sheet1!O152&lt;Sheet2!$X$6,Sheet1!P152&lt;Sheet2!$Y$6,Sheet1!Q152&lt;Sheet2!$Z$6),IF(Sheet1!R152+Sheet2!$AB$5&gt;=Sheet2!$AA$5,Sheet2!$W$6,IF(AND(Sheet1!O152&lt;Sheet2!$X$5,Sheet1!P152&lt;Sheet2!$Y$5,Sheet1!Q152&lt;Sheet2!$Z$5),IF(Sheet1!R152+Sheet2!$AB$4&gt;=Sheet2!$AA$4,Sheet2!$W$5,IF(AND(Sheet1!O152&lt;Sheet2!$X$4,Sheet1!P152&lt;Sheet2!$Y$4,Sheet1!Q152&lt;Sheet2!$Z$4),Sheet2!$W$4,Sheet2!$W$5)),Sheet2!$W$6)),Sheet2!$W$7)),"超出《标准包裹》尺寸"))</f>
        <v>标准包裹</v>
      </c>
      <c r="T152" s="69">
        <f>H152*0.63-N152-M152</f>
        <v>0.605700000000008</v>
      </c>
      <c r="Y152" s="76"/>
    </row>
    <row r="153" ht="15" customHeight="1" spans="1:25">
      <c r="A153" s="46"/>
      <c r="B153" s="47"/>
      <c r="C153" s="45" t="s">
        <v>37</v>
      </c>
      <c r="D153" s="39">
        <f>IF(S153=Sheet2!$W$4,INDEX(Sheet2!$J$5:$Q$5,1,MATCH(Sheet1!C153,Sheet2!$J$3:$Q$3,0)),IF(S153=Sheet2!$W$5,INDEX(Sheet2!$J$6:$Q$8,MATCH(Sheet1!R153,Sheet2!$H$6:$H$8,1),MATCH(Sheet1!C153,Sheet2!$J$3:$Q$3,0)),IF(S153=Sheet2!$W$6,INDEX(Sheet2!$J$9:$Q$9,1,MATCH(Sheet1!C153,Sheet2!$J$3:$Q$3,0)),IF(S153=Sheet2!$W$7,INDEX(Sheet2!$J$10:$Q$24,MATCH(Sheet1!R153,Sheet2!$H$10:$H$24,1),MATCH(Sheet1!C153,Sheet2!$J$3:$Q$3,0)),"ERR COUNTRY!"))))</f>
        <v>5.66</v>
      </c>
      <c r="E153" s="52">
        <f t="shared" si="39"/>
        <v>7.2</v>
      </c>
      <c r="F153" s="53" t="s">
        <v>30</v>
      </c>
      <c r="G153" s="52">
        <f t="shared" si="38"/>
        <v>8</v>
      </c>
      <c r="H153" s="52">
        <f t="shared" si="40"/>
        <v>17.54</v>
      </c>
      <c r="I153" s="52" t="s">
        <v>30</v>
      </c>
      <c r="J153" s="52">
        <f>IF(OR(C153=Sheet2!$A$10),0,L153*0.2)</f>
        <v>9.6</v>
      </c>
      <c r="K153" s="52">
        <f t="shared" si="41"/>
        <v>27.14</v>
      </c>
      <c r="L153" s="58">
        <v>48</v>
      </c>
      <c r="M153" s="52">
        <f>R153*$B$1</f>
        <v>7.6</v>
      </c>
      <c r="N153" s="24">
        <v>8</v>
      </c>
      <c r="O153" s="24">
        <v>24</v>
      </c>
      <c r="P153" s="24">
        <v>22</v>
      </c>
      <c r="Q153" s="24">
        <v>5</v>
      </c>
      <c r="R153" s="24">
        <v>200</v>
      </c>
      <c r="S153" s="26" t="str">
        <f>IF(Sheet1!R153+Sheet2!$AB$7&gt;=Sheet2!$AA$7,"超出《标准包裹》重量",IF(AND(Sheet1!O153&lt;Sheet2!$X$7,Sheet1!P153&lt;Sheet2!$Y$7,Sheet1!Q153&lt;Sheet2!$Z$7),IF(Sheet1!R153+Sheet2!$AB$6&gt;=Sheet2!$AA$6,Sheet2!$W$7,IF(AND(Sheet1!O153&lt;Sheet2!$X$6,Sheet1!P153&lt;Sheet2!$Y$6,Sheet1!Q153&lt;Sheet2!$Z$6),IF(Sheet1!R153+Sheet2!$AB$5&gt;=Sheet2!$AA$5,Sheet2!$W$6,IF(AND(Sheet1!O153&lt;Sheet2!$X$5,Sheet1!P153&lt;Sheet2!$Y$5,Sheet1!Q153&lt;Sheet2!$Z$5),IF(Sheet1!R153+Sheet2!$AB$4&gt;=Sheet2!$AA$4,Sheet2!$W$5,IF(AND(Sheet1!O153&lt;Sheet2!$X$4,Sheet1!P153&lt;Sheet2!$Y$4,Sheet1!Q153&lt;Sheet2!$Z$4),Sheet2!$W$4,Sheet2!$W$5)),Sheet2!$W$6)),Sheet2!$W$7)),"超出《标准包裹》尺寸"))</f>
        <v>标准包裹</v>
      </c>
      <c r="T153" s="69">
        <f>H153*1.38-N153-M153</f>
        <v>8.6052</v>
      </c>
      <c r="Y153" s="76"/>
    </row>
    <row r="154" spans="1:25">
      <c r="A154" s="46"/>
      <c r="B154" s="47"/>
      <c r="C154" s="45"/>
      <c r="D154" s="39">
        <v>0</v>
      </c>
      <c r="E154" s="52">
        <f t="shared" si="39"/>
        <v>9</v>
      </c>
      <c r="F154" s="53" t="s">
        <v>39</v>
      </c>
      <c r="G154" s="52">
        <v>0</v>
      </c>
      <c r="H154" s="52">
        <f t="shared" si="40"/>
        <v>51</v>
      </c>
      <c r="I154" s="52" t="s">
        <v>30</v>
      </c>
      <c r="J154" s="52">
        <f>IF(OR(C154=Sheet2!$A$10),0,L154*0.2)</f>
        <v>0</v>
      </c>
      <c r="K154" s="52">
        <f t="shared" si="41"/>
        <v>51</v>
      </c>
      <c r="L154" s="59">
        <v>60</v>
      </c>
      <c r="M154" s="52">
        <f>R154*$B$1</f>
        <v>7.6</v>
      </c>
      <c r="N154" s="24">
        <v>8</v>
      </c>
      <c r="O154" s="64"/>
      <c r="P154" s="64"/>
      <c r="Q154" s="64"/>
      <c r="R154" s="24">
        <v>200</v>
      </c>
      <c r="S154" s="70"/>
      <c r="T154" s="69">
        <f>H154*0.44-N154-M154</f>
        <v>6.84</v>
      </c>
      <c r="Y154" s="76"/>
    </row>
    <row r="155" ht="15" customHeight="1" spans="1:25">
      <c r="A155" s="77"/>
      <c r="B155" s="44"/>
      <c r="C155" s="45" t="s">
        <v>29</v>
      </c>
      <c r="D155" s="39">
        <f>IF(S155=Sheet2!$W$4,INDEX(Sheet2!$J$5:$Q$5,1,MATCH(Sheet1!C155,Sheet2!$J$3:$Q$3,0)),IF(S155=Sheet2!$W$5,INDEX(Sheet2!$J$6:$Q$8,MATCH(Sheet1!R155,Sheet2!$H$6:$H$8,1),MATCH(Sheet1!C155,Sheet2!$J$3:$Q$3,0)),IF(S155=Sheet2!$W$6,INDEX(Sheet2!$J$9:$Q$9,1,MATCH(Sheet1!C155,Sheet2!$J$3:$Q$3,0)),IF(S155=Sheet2!$W$7,INDEX(Sheet2!$J$10:$Q$24,MATCH(Sheet1!R155,Sheet2!$H$10:$H$24,1),MATCH(Sheet1!C155,Sheet2!$J$3:$Q$3,0)),"ERR COUNTRY!"))))</f>
        <v>2.77</v>
      </c>
      <c r="E155" s="52">
        <f t="shared" si="39"/>
        <v>1.7985</v>
      </c>
      <c r="F155" s="53" t="s">
        <v>30</v>
      </c>
      <c r="G155" s="52">
        <f t="shared" ref="G155:G162" si="43">L155-L155/(1+20%)</f>
        <v>1.99833333333333</v>
      </c>
      <c r="H155" s="52">
        <f t="shared" si="40"/>
        <v>3.02516666666667</v>
      </c>
      <c r="I155" s="52" t="s">
        <v>30</v>
      </c>
      <c r="J155" s="52">
        <f>IF(OR(C155=Sheet2!$A$10),0,L155*0.2)</f>
        <v>2.398</v>
      </c>
      <c r="K155" s="52">
        <f t="shared" si="41"/>
        <v>5.42316666666667</v>
      </c>
      <c r="L155" s="58">
        <v>11.99</v>
      </c>
      <c r="M155" s="52">
        <f>R155*$B$1</f>
        <v>7.6</v>
      </c>
      <c r="N155" s="24">
        <v>8</v>
      </c>
      <c r="O155" s="24">
        <v>24</v>
      </c>
      <c r="P155" s="24">
        <v>22</v>
      </c>
      <c r="Q155" s="24">
        <v>5</v>
      </c>
      <c r="R155" s="24">
        <v>200</v>
      </c>
      <c r="S155" s="26" t="str">
        <f>IF(Sheet1!R155+Sheet2!$AB$7&gt;=Sheet2!$AA$7,"超出《标准包裹》重量",IF(AND(Sheet1!O155&lt;Sheet2!$X$7,Sheet1!P155&lt;Sheet2!$Y$7,Sheet1!Q155&lt;Sheet2!$Z$7),IF(Sheet1!R155+Sheet2!$AB$6&gt;=Sheet2!$AA$6,Sheet2!$W$7,IF(AND(Sheet1!O155&lt;Sheet2!$X$6,Sheet1!P155&lt;Sheet2!$Y$6,Sheet1!Q155&lt;Sheet2!$Z$6),IF(Sheet1!R155+Sheet2!$AB$5&gt;=Sheet2!$AA$5,Sheet2!$W$6,IF(AND(Sheet1!O155&lt;Sheet2!$X$5,Sheet1!P155&lt;Sheet2!$Y$5,Sheet1!Q155&lt;Sheet2!$Z$5),IF(Sheet1!R155+Sheet2!$AB$4&gt;=Sheet2!$AA$4,Sheet2!$W$5,IF(AND(Sheet1!O155&lt;Sheet2!$X$4,Sheet1!P155&lt;Sheet2!$Y$4,Sheet1!Q155&lt;Sheet2!$Z$4),Sheet2!$W$4,Sheet2!$W$5)),Sheet2!$W$6)),Sheet2!$W$7)),"超出《标准包裹》尺寸"))</f>
        <v>标准包裹</v>
      </c>
      <c r="T155" s="69">
        <f>H155*8.3-N155-M155</f>
        <v>9.50888333333334</v>
      </c>
      <c r="W155" s="74"/>
      <c r="X155" s="74"/>
      <c r="Y155" s="76"/>
    </row>
    <row r="156" ht="15" customHeight="1" spans="1:25">
      <c r="A156" s="46"/>
      <c r="B156" s="47"/>
      <c r="C156" s="45" t="s">
        <v>31</v>
      </c>
      <c r="D156" s="39">
        <f>IF(S156=Sheet2!$W$4,INDEX(Sheet2!$J$5:$Q$5,1,MATCH(Sheet1!C156,Sheet2!$J$3:$Q$3,0)),IF(S156=Sheet2!$W$5,INDEX(Sheet2!$J$6:$Q$8,MATCH(Sheet1!R156,Sheet2!$H$6:$H$8,1),MATCH(Sheet1!C156,Sheet2!$J$3:$Q$3,0)),IF(S156=Sheet2!$W$6,INDEX(Sheet2!$J$9:$Q$9,1,MATCH(Sheet1!C156,Sheet2!$J$3:$Q$3,0)),IF(S156=Sheet2!$W$7,INDEX(Sheet2!$J$10:$Q$24,MATCH(Sheet1!R156,Sheet2!$H$10:$H$24,1),MATCH(Sheet1!C156,Sheet2!$J$3:$Q$3,0)),"ERR COUNTRY!"))))</f>
        <v>3.73</v>
      </c>
      <c r="E156" s="52">
        <f t="shared" si="39"/>
        <v>2.0985</v>
      </c>
      <c r="F156" s="53" t="s">
        <v>30</v>
      </c>
      <c r="G156" s="52">
        <f t="shared" si="43"/>
        <v>2.33166666666667</v>
      </c>
      <c r="H156" s="52">
        <f t="shared" si="40"/>
        <v>3.03183333333333</v>
      </c>
      <c r="I156" s="52" t="s">
        <v>30</v>
      </c>
      <c r="J156" s="52">
        <f>IF(OR(C156=Sheet2!$A$10),0,L156*0.2)</f>
        <v>2.798</v>
      </c>
      <c r="K156" s="52">
        <f t="shared" si="41"/>
        <v>5.82983333333333</v>
      </c>
      <c r="L156" s="58">
        <v>13.99</v>
      </c>
      <c r="M156" s="52">
        <f>R156*$B$1</f>
        <v>7.6</v>
      </c>
      <c r="N156" s="24">
        <v>8</v>
      </c>
      <c r="O156" s="24">
        <v>24</v>
      </c>
      <c r="P156" s="24">
        <v>22</v>
      </c>
      <c r="Q156" s="24">
        <v>5</v>
      </c>
      <c r="R156" s="24">
        <v>200</v>
      </c>
      <c r="S156" s="26" t="str">
        <f>IF(Sheet1!R156+Sheet2!$AB$7&gt;=Sheet2!$AA$7,"超出《标准包裹》重量",IF(AND(Sheet1!O156&lt;Sheet2!$X$7,Sheet1!P156&lt;Sheet2!$Y$7,Sheet1!Q156&lt;Sheet2!$Z$7),IF(Sheet1!R156+Sheet2!$AB$6&gt;=Sheet2!$AA$6,Sheet2!$W$7,IF(AND(Sheet1!O156&lt;Sheet2!$X$6,Sheet1!P156&lt;Sheet2!$Y$6,Sheet1!Q156&lt;Sheet2!$Z$6),IF(Sheet1!R156+Sheet2!$AB$5&gt;=Sheet2!$AA$5,Sheet2!$W$6,IF(AND(Sheet1!O156&lt;Sheet2!$X$5,Sheet1!P156&lt;Sheet2!$Y$5,Sheet1!Q156&lt;Sheet2!$Z$5),IF(Sheet1!R156+Sheet2!$AB$4&gt;=Sheet2!$AA$4,Sheet2!$W$5,IF(AND(Sheet1!O156&lt;Sheet2!$X$4,Sheet1!P156&lt;Sheet2!$Y$4,Sheet1!Q156&lt;Sheet2!$Z$4),Sheet2!$W$4,Sheet2!$W$5)),Sheet2!$W$6)),Sheet2!$W$7)),"超出《标准包裹》尺寸"))</f>
        <v>标准包裹</v>
      </c>
      <c r="T156" s="69">
        <f t="shared" ref="T156:T160" si="44">H156*7.1-N156-M156</f>
        <v>5.92601666666666</v>
      </c>
      <c r="X156" s="74"/>
      <c r="Y156" s="76"/>
    </row>
    <row r="157" ht="15" customHeight="1" spans="1:25">
      <c r="A157" s="46"/>
      <c r="B157" s="47"/>
      <c r="C157" s="45" t="s">
        <v>32</v>
      </c>
      <c r="D157" s="39">
        <f>IF(S157=Sheet2!$W$4,INDEX(Sheet2!$J$5:$Q$5,1,MATCH(Sheet1!C157,Sheet2!$J$3:$Q$3,0)),IF(S157=Sheet2!$W$5,INDEX(Sheet2!$J$6:$Q$8,MATCH(Sheet1!R157,Sheet2!$H$6:$H$8,1),MATCH(Sheet1!C157,Sheet2!$J$3:$Q$3,0)),IF(S157=Sheet2!$W$6,INDEX(Sheet2!$J$9:$Q$9,1,MATCH(Sheet1!C157,Sheet2!$J$3:$Q$3,0)),IF(S157=Sheet2!$W$7,INDEX(Sheet2!$J$10:$Q$24,MATCH(Sheet1!R157,Sheet2!$H$10:$H$24,1),MATCH(Sheet1!C157,Sheet2!$J$3:$Q$3,0)),"ERR COUNTRY!"))))</f>
        <v>5.27</v>
      </c>
      <c r="E157" s="52">
        <f t="shared" si="39"/>
        <v>2.6985</v>
      </c>
      <c r="F157" s="53" t="s">
        <v>30</v>
      </c>
      <c r="G157" s="52">
        <f t="shared" si="43"/>
        <v>2.99833333333333</v>
      </c>
      <c r="H157" s="52">
        <f t="shared" si="40"/>
        <v>3.42516666666667</v>
      </c>
      <c r="I157" s="52" t="s">
        <v>30</v>
      </c>
      <c r="J157" s="52">
        <f>IF(OR(C157=Sheet2!$A$10),0,L157*0.2)</f>
        <v>3.598</v>
      </c>
      <c r="K157" s="52">
        <f t="shared" si="41"/>
        <v>7.02316666666667</v>
      </c>
      <c r="L157" s="58">
        <v>17.99</v>
      </c>
      <c r="M157" s="52">
        <f>R157*$B$1</f>
        <v>7.6</v>
      </c>
      <c r="N157" s="24">
        <v>8</v>
      </c>
      <c r="O157" s="24">
        <v>24</v>
      </c>
      <c r="P157" s="24">
        <v>22</v>
      </c>
      <c r="Q157" s="24">
        <v>5</v>
      </c>
      <c r="R157" s="24">
        <v>200</v>
      </c>
      <c r="S157" s="26" t="str">
        <f>IF(Sheet1!R157+Sheet2!$AB$7&gt;=Sheet2!$AA$7,"超出《标准包裹》重量",IF(AND(Sheet1!O157&lt;Sheet2!$X$7,Sheet1!P157&lt;Sheet2!$Y$7,Sheet1!Q157&lt;Sheet2!$Z$7),IF(Sheet1!R157+Sheet2!$AB$6&gt;=Sheet2!$AA$6,Sheet2!$W$7,IF(AND(Sheet1!O157&lt;Sheet2!$X$6,Sheet1!P157&lt;Sheet2!$Y$6,Sheet1!Q157&lt;Sheet2!$Z$6),IF(Sheet1!R157+Sheet2!$AB$5&gt;=Sheet2!$AA$5,Sheet2!$W$6,IF(AND(Sheet1!O157&lt;Sheet2!$X$5,Sheet1!P157&lt;Sheet2!$Y$5,Sheet1!Q157&lt;Sheet2!$Z$5),IF(Sheet1!R157+Sheet2!$AB$4&gt;=Sheet2!$AA$4,Sheet2!$W$5,IF(AND(Sheet1!O157&lt;Sheet2!$X$4,Sheet1!P157&lt;Sheet2!$Y$4,Sheet1!Q157&lt;Sheet2!$Z$4),Sheet2!$W$4,Sheet2!$W$5)),Sheet2!$W$6)),Sheet2!$W$7)),"超出《标准包裹》尺寸"))</f>
        <v>标准包裹</v>
      </c>
      <c r="T157" s="69">
        <f t="shared" si="44"/>
        <v>8.71868333333333</v>
      </c>
      <c r="Y157" s="76"/>
    </row>
    <row r="158" ht="15" customHeight="1" spans="1:25">
      <c r="A158" s="46"/>
      <c r="B158" s="47"/>
      <c r="C158" s="45" t="s">
        <v>33</v>
      </c>
      <c r="D158" s="39">
        <f>IF(S158=Sheet2!$W$4,INDEX(Sheet2!$J$5:$Q$5,1,MATCH(Sheet1!C158,Sheet2!$J$3:$Q$3,0)),IF(S158=Sheet2!$W$5,INDEX(Sheet2!$J$6:$Q$8,MATCH(Sheet1!R158,Sheet2!$H$6:$H$8,1),MATCH(Sheet1!C158,Sheet2!$J$3:$Q$3,0)),IF(S158=Sheet2!$W$6,INDEX(Sheet2!$J$9:$Q$9,1,MATCH(Sheet1!C158,Sheet2!$J$3:$Q$3,0)),IF(S158=Sheet2!$W$7,INDEX(Sheet2!$J$10:$Q$24,MATCH(Sheet1!R158,Sheet2!$H$10:$H$24,1),MATCH(Sheet1!C158,Sheet2!$J$3:$Q$3,0)),"ERR COUNTRY!"))))</f>
        <v>4.82</v>
      </c>
      <c r="E158" s="52">
        <f t="shared" si="39"/>
        <v>2.3985</v>
      </c>
      <c r="F158" s="53" t="s">
        <v>30</v>
      </c>
      <c r="G158" s="52">
        <f t="shared" si="43"/>
        <v>2.665</v>
      </c>
      <c r="H158" s="52">
        <f t="shared" si="40"/>
        <v>2.9085</v>
      </c>
      <c r="I158" s="52" t="s">
        <v>30</v>
      </c>
      <c r="J158" s="52">
        <f>IF(OR(C158=Sheet2!$A$10),0,L158*0.2)</f>
        <v>3.198</v>
      </c>
      <c r="K158" s="52">
        <f t="shared" si="41"/>
        <v>6.1065</v>
      </c>
      <c r="L158" s="58">
        <v>15.99</v>
      </c>
      <c r="M158" s="52">
        <f>R158*$B$1</f>
        <v>7.6</v>
      </c>
      <c r="N158" s="24">
        <v>8</v>
      </c>
      <c r="O158" s="24">
        <v>24</v>
      </c>
      <c r="P158" s="24">
        <v>22</v>
      </c>
      <c r="Q158" s="24">
        <v>5</v>
      </c>
      <c r="R158" s="24">
        <v>200</v>
      </c>
      <c r="S158" s="26" t="str">
        <f>IF(Sheet1!R158+Sheet2!$AB$7&gt;=Sheet2!$AA$7,"超出《标准包裹》重量",IF(AND(Sheet1!O158&lt;Sheet2!$X$7,Sheet1!P158&lt;Sheet2!$Y$7,Sheet1!Q158&lt;Sheet2!$Z$7),IF(Sheet1!R158+Sheet2!$AB$6&gt;=Sheet2!$AA$6,Sheet2!$W$7,IF(AND(Sheet1!O158&lt;Sheet2!$X$6,Sheet1!P158&lt;Sheet2!$Y$6,Sheet1!Q158&lt;Sheet2!$Z$6),IF(Sheet1!R158+Sheet2!$AB$5&gt;=Sheet2!$AA$5,Sheet2!$W$6,IF(AND(Sheet1!O158&lt;Sheet2!$X$5,Sheet1!P158&lt;Sheet2!$Y$5,Sheet1!Q158&lt;Sheet2!$Z$5),IF(Sheet1!R158+Sheet2!$AB$4&gt;=Sheet2!$AA$4,Sheet2!$W$5,IF(AND(Sheet1!O158&lt;Sheet2!$X$4,Sheet1!P158&lt;Sheet2!$Y$4,Sheet1!Q158&lt;Sheet2!$Z$4),Sheet2!$W$4,Sheet2!$W$5)),Sheet2!$W$6)),Sheet2!$W$7)),"超出《标准包裹》尺寸"))</f>
        <v>标准包裹</v>
      </c>
      <c r="T158" s="69">
        <f t="shared" si="44"/>
        <v>5.05035</v>
      </c>
      <c r="W158" s="75"/>
      <c r="X158" s="75"/>
      <c r="Y158" s="76"/>
    </row>
    <row r="159" ht="15" customHeight="1" spans="1:25">
      <c r="A159" s="46"/>
      <c r="B159" s="47"/>
      <c r="C159" s="45" t="s">
        <v>34</v>
      </c>
      <c r="D159" s="39">
        <f>IF(S159=Sheet2!$W$4,INDEX(Sheet2!$J$5:$Q$5,1,MATCH(Sheet1!C159,Sheet2!$J$3:$Q$3,0)),IF(S159=Sheet2!$W$5,INDEX(Sheet2!$J$6:$Q$8,MATCH(Sheet1!R159,Sheet2!$H$6:$H$8,1),MATCH(Sheet1!C159,Sheet2!$J$3:$Q$3,0)),IF(S159=Sheet2!$W$6,INDEX(Sheet2!$J$9:$Q$9,1,MATCH(Sheet1!C159,Sheet2!$J$3:$Q$3,0)),IF(S159=Sheet2!$W$7,INDEX(Sheet2!$J$10:$Q$24,MATCH(Sheet1!R159,Sheet2!$H$10:$H$24,1),MATCH(Sheet1!C159,Sheet2!$J$3:$Q$3,0)),"ERR COUNTRY!"))))</f>
        <v>4.1</v>
      </c>
      <c r="E159" s="52">
        <f t="shared" si="39"/>
        <v>2.2485</v>
      </c>
      <c r="F159" s="53" t="s">
        <v>30</v>
      </c>
      <c r="G159" s="52">
        <f t="shared" si="43"/>
        <v>2.49833333333333</v>
      </c>
      <c r="H159" s="52">
        <f t="shared" si="40"/>
        <v>3.14516666666667</v>
      </c>
      <c r="I159" s="52" t="s">
        <v>30</v>
      </c>
      <c r="J159" s="52">
        <f>IF(OR(C159=Sheet2!$A$10),0,L159*0.2)</f>
        <v>2.998</v>
      </c>
      <c r="K159" s="52">
        <f t="shared" si="41"/>
        <v>6.14316666666667</v>
      </c>
      <c r="L159" s="58">
        <v>14.99</v>
      </c>
      <c r="M159" s="52">
        <f>R159*$B$1</f>
        <v>7.6</v>
      </c>
      <c r="N159" s="24">
        <v>8</v>
      </c>
      <c r="O159" s="24">
        <v>24</v>
      </c>
      <c r="P159" s="24">
        <v>22</v>
      </c>
      <c r="Q159" s="24">
        <v>5</v>
      </c>
      <c r="R159" s="24">
        <v>200</v>
      </c>
      <c r="S159" s="26" t="str">
        <f>IF(Sheet1!R159+Sheet2!$AB$7&gt;=Sheet2!$AA$7,"超出《标准包裹》重量",IF(AND(Sheet1!O159&lt;Sheet2!$X$7,Sheet1!P159&lt;Sheet2!$Y$7,Sheet1!Q159&lt;Sheet2!$Z$7),IF(Sheet1!R159+Sheet2!$AB$6&gt;=Sheet2!$AA$6,Sheet2!$W$7,IF(AND(Sheet1!O159&lt;Sheet2!$X$6,Sheet1!P159&lt;Sheet2!$Y$6,Sheet1!Q159&lt;Sheet2!$Z$6),IF(Sheet1!R159+Sheet2!$AB$5&gt;=Sheet2!$AA$5,Sheet2!$W$6,IF(AND(Sheet1!O159&lt;Sheet2!$X$5,Sheet1!P159&lt;Sheet2!$Y$5,Sheet1!Q159&lt;Sheet2!$Z$5),IF(Sheet1!R159+Sheet2!$AB$4&gt;=Sheet2!$AA$4,Sheet2!$W$5,IF(AND(Sheet1!O159&lt;Sheet2!$X$4,Sheet1!P159&lt;Sheet2!$Y$4,Sheet1!Q159&lt;Sheet2!$Z$4),Sheet2!$W$4,Sheet2!$W$5)),Sheet2!$W$6)),Sheet2!$W$7)),"超出《标准包裹》尺寸"))</f>
        <v>标准包裹</v>
      </c>
      <c r="T159" s="69">
        <f t="shared" si="44"/>
        <v>6.73068333333333</v>
      </c>
      <c r="Y159" s="76"/>
    </row>
    <row r="160" ht="15" customHeight="1" spans="1:25">
      <c r="A160" s="46"/>
      <c r="B160" s="47"/>
      <c r="C160" s="45" t="s">
        <v>35</v>
      </c>
      <c r="D160" s="39">
        <f>IF(S160=Sheet2!$W$4,INDEX(Sheet2!$J$5:$Q$5,1,MATCH(Sheet1!C160,Sheet2!$J$3:$Q$3,0)),IF(S160=Sheet2!$W$5,INDEX(Sheet2!$J$6:$Q$8,MATCH(Sheet1!R160,Sheet2!$H$6:$H$8,1),MATCH(Sheet1!C160,Sheet2!$J$3:$Q$3,0)),IF(S160=Sheet2!$W$6,INDEX(Sheet2!$J$9:$Q$9,1,MATCH(Sheet1!C160,Sheet2!$J$3:$Q$3,0)),IF(S160=Sheet2!$W$7,INDEX(Sheet2!$J$10:$Q$24,MATCH(Sheet1!R160,Sheet2!$H$10:$H$24,1),MATCH(Sheet1!C160,Sheet2!$J$3:$Q$3,0)),"ERR COUNTRY!"))))</f>
        <v>3.16</v>
      </c>
      <c r="E160" s="52">
        <f t="shared" si="39"/>
        <v>2.0985</v>
      </c>
      <c r="F160" s="53" t="s">
        <v>30</v>
      </c>
      <c r="G160" s="52">
        <f t="shared" si="43"/>
        <v>2.33166666666667</v>
      </c>
      <c r="H160" s="52">
        <f t="shared" si="40"/>
        <v>3.60183333333333</v>
      </c>
      <c r="I160" s="52" t="s">
        <v>30</v>
      </c>
      <c r="J160" s="52">
        <f>IF(OR(C160=Sheet2!$A$10),0,L160*0.2)</f>
        <v>2.798</v>
      </c>
      <c r="K160" s="52">
        <f t="shared" si="41"/>
        <v>6.39983333333333</v>
      </c>
      <c r="L160" s="58">
        <v>13.99</v>
      </c>
      <c r="M160" s="52">
        <f>R160*$B$1</f>
        <v>7.6</v>
      </c>
      <c r="N160" s="24">
        <v>8</v>
      </c>
      <c r="O160" s="24">
        <v>24</v>
      </c>
      <c r="P160" s="24">
        <v>22</v>
      </c>
      <c r="Q160" s="24">
        <v>5</v>
      </c>
      <c r="R160" s="24">
        <v>200</v>
      </c>
      <c r="S160" s="26" t="str">
        <f>IF(Sheet1!R160+Sheet2!$AB$7&gt;=Sheet2!$AA$7,"超出《标准包裹》重量",IF(AND(Sheet1!O160&lt;Sheet2!$X$7,Sheet1!P160&lt;Sheet2!$Y$7,Sheet1!Q160&lt;Sheet2!$Z$7),IF(Sheet1!R160+Sheet2!$AB$6&gt;=Sheet2!$AA$6,Sheet2!$W$7,IF(AND(Sheet1!O160&lt;Sheet2!$X$6,Sheet1!P160&lt;Sheet2!$Y$6,Sheet1!Q160&lt;Sheet2!$Z$6),IF(Sheet1!R160+Sheet2!$AB$5&gt;=Sheet2!$AA$5,Sheet2!$W$6,IF(AND(Sheet1!O160&lt;Sheet2!$X$5,Sheet1!P160&lt;Sheet2!$Y$5,Sheet1!Q160&lt;Sheet2!$Z$5),IF(Sheet1!R160+Sheet2!$AB$4&gt;=Sheet2!$AA$4,Sheet2!$W$5,IF(AND(Sheet1!O160&lt;Sheet2!$X$4,Sheet1!P160&lt;Sheet2!$Y$4,Sheet1!Q160&lt;Sheet2!$Z$4),Sheet2!$W$4,Sheet2!$W$5)),Sheet2!$W$6)),Sheet2!$W$7)),"超出《标准包裹》尺寸"))</f>
        <v>标准包裹</v>
      </c>
      <c r="T160" s="69">
        <f t="shared" si="44"/>
        <v>9.97301666666667</v>
      </c>
      <c r="Y160" s="76"/>
    </row>
    <row r="161" ht="15" customHeight="1" spans="1:25">
      <c r="A161" s="46"/>
      <c r="B161" s="47"/>
      <c r="C161" s="45" t="s">
        <v>36</v>
      </c>
      <c r="D161" s="39">
        <f>IF(S161=Sheet2!$W$4,INDEX(Sheet2!$J$5:$Q$5,1,MATCH(Sheet1!C161,Sheet2!$J$3:$Q$3,0)),IF(S161=Sheet2!$W$5,INDEX(Sheet2!$J$6:$Q$8,MATCH(Sheet1!R161,Sheet2!$H$6:$H$8,1),MATCH(Sheet1!C161,Sheet2!$J$3:$Q$3,0)),IF(S161=Sheet2!$W$6,INDEX(Sheet2!$J$9:$Q$9,1,MATCH(Sheet1!C161,Sheet2!$J$3:$Q$3,0)),IF(S161=Sheet2!$W$7,INDEX(Sheet2!$J$10:$Q$24,MATCH(Sheet1!R161,Sheet2!$H$10:$H$24,1),MATCH(Sheet1!C161,Sheet2!$J$3:$Q$3,0)),"ERR COUNTRY!"))))</f>
        <v>42.91</v>
      </c>
      <c r="E161" s="52">
        <f t="shared" si="39"/>
        <v>21.3</v>
      </c>
      <c r="F161" s="53" t="s">
        <v>30</v>
      </c>
      <c r="G161" s="52">
        <f t="shared" si="43"/>
        <v>23.6666666666667</v>
      </c>
      <c r="H161" s="52">
        <f t="shared" si="40"/>
        <v>25.7233333333333</v>
      </c>
      <c r="I161" s="52" t="s">
        <v>30</v>
      </c>
      <c r="J161" s="52">
        <f>IF(OR(C161=Sheet2!$A$10),0,L161*0.2)</f>
        <v>28.4</v>
      </c>
      <c r="K161" s="52">
        <f t="shared" si="41"/>
        <v>54.1233333333333</v>
      </c>
      <c r="L161" s="58">
        <v>142</v>
      </c>
      <c r="M161" s="52">
        <f>R161*$B$1</f>
        <v>7.6</v>
      </c>
      <c r="N161" s="24">
        <v>8</v>
      </c>
      <c r="O161" s="24">
        <v>24</v>
      </c>
      <c r="P161" s="24">
        <v>22</v>
      </c>
      <c r="Q161" s="24">
        <v>5</v>
      </c>
      <c r="R161" s="24">
        <v>200</v>
      </c>
      <c r="S161" s="26" t="str">
        <f>IF(Sheet1!R161+Sheet2!$AB$7&gt;=Sheet2!$AA$7,"超出《标准包裹》重量",IF(AND(Sheet1!O161&lt;Sheet2!$X$7,Sheet1!P161&lt;Sheet2!$Y$7,Sheet1!Q161&lt;Sheet2!$Z$7),IF(Sheet1!R161+Sheet2!$AB$6&gt;=Sheet2!$AA$6,Sheet2!$W$7,IF(AND(Sheet1!O161&lt;Sheet2!$X$6,Sheet1!P161&lt;Sheet2!$Y$6,Sheet1!Q161&lt;Sheet2!$Z$6),IF(Sheet1!R161+Sheet2!$AB$5&gt;=Sheet2!$AA$5,Sheet2!$W$6,IF(AND(Sheet1!O161&lt;Sheet2!$X$5,Sheet1!P161&lt;Sheet2!$Y$5,Sheet1!Q161&lt;Sheet2!$Z$5),IF(Sheet1!R161+Sheet2!$AB$4&gt;=Sheet2!$AA$4,Sheet2!$W$5,IF(AND(Sheet1!O161&lt;Sheet2!$X$4,Sheet1!P161&lt;Sheet2!$Y$4,Sheet1!Q161&lt;Sheet2!$Z$4),Sheet2!$W$4,Sheet2!$W$5)),Sheet2!$W$6)),Sheet2!$W$7)),"超出《标准包裹》尺寸"))</f>
        <v>标准包裹</v>
      </c>
      <c r="T161" s="69">
        <f>H161*0.63-N161-M161</f>
        <v>0.605700000000008</v>
      </c>
      <c r="Y161" s="76"/>
    </row>
    <row r="162" ht="15" customHeight="1" spans="1:25">
      <c r="A162" s="46"/>
      <c r="B162" s="47"/>
      <c r="C162" s="45" t="s">
        <v>37</v>
      </c>
      <c r="D162" s="39">
        <f>IF(S162=Sheet2!$W$4,INDEX(Sheet2!$J$5:$Q$5,1,MATCH(Sheet1!C162,Sheet2!$J$3:$Q$3,0)),IF(S162=Sheet2!$W$5,INDEX(Sheet2!$J$6:$Q$8,MATCH(Sheet1!R162,Sheet2!$H$6:$H$8,1),MATCH(Sheet1!C162,Sheet2!$J$3:$Q$3,0)),IF(S162=Sheet2!$W$6,INDEX(Sheet2!$J$9:$Q$9,1,MATCH(Sheet1!C162,Sheet2!$J$3:$Q$3,0)),IF(S162=Sheet2!$W$7,INDEX(Sheet2!$J$10:$Q$24,MATCH(Sheet1!R162,Sheet2!$H$10:$H$24,1),MATCH(Sheet1!C162,Sheet2!$J$3:$Q$3,0)),"ERR COUNTRY!"))))</f>
        <v>5.66</v>
      </c>
      <c r="E162" s="52">
        <f t="shared" si="39"/>
        <v>7.2</v>
      </c>
      <c r="F162" s="53" t="s">
        <v>30</v>
      </c>
      <c r="G162" s="52">
        <f t="shared" si="43"/>
        <v>8</v>
      </c>
      <c r="H162" s="52">
        <f t="shared" si="40"/>
        <v>17.54</v>
      </c>
      <c r="I162" s="52" t="s">
        <v>30</v>
      </c>
      <c r="J162" s="52">
        <f>IF(OR(C162=Sheet2!$A$10),0,L162*0.2)</f>
        <v>9.6</v>
      </c>
      <c r="K162" s="52">
        <f t="shared" si="41"/>
        <v>27.14</v>
      </c>
      <c r="L162" s="58">
        <v>48</v>
      </c>
      <c r="M162" s="52">
        <f>R162*$B$1</f>
        <v>7.6</v>
      </c>
      <c r="N162" s="24">
        <v>8</v>
      </c>
      <c r="O162" s="24">
        <v>24</v>
      </c>
      <c r="P162" s="24">
        <v>22</v>
      </c>
      <c r="Q162" s="24">
        <v>5</v>
      </c>
      <c r="R162" s="24">
        <v>200</v>
      </c>
      <c r="S162" s="26" t="str">
        <f>IF(Sheet1!R162+Sheet2!$AB$7&gt;=Sheet2!$AA$7,"超出《标准包裹》重量",IF(AND(Sheet1!O162&lt;Sheet2!$X$7,Sheet1!P162&lt;Sheet2!$Y$7,Sheet1!Q162&lt;Sheet2!$Z$7),IF(Sheet1!R162+Sheet2!$AB$6&gt;=Sheet2!$AA$6,Sheet2!$W$7,IF(AND(Sheet1!O162&lt;Sheet2!$X$6,Sheet1!P162&lt;Sheet2!$Y$6,Sheet1!Q162&lt;Sheet2!$Z$6),IF(Sheet1!R162+Sheet2!$AB$5&gt;=Sheet2!$AA$5,Sheet2!$W$6,IF(AND(Sheet1!O162&lt;Sheet2!$X$5,Sheet1!P162&lt;Sheet2!$Y$5,Sheet1!Q162&lt;Sheet2!$Z$5),IF(Sheet1!R162+Sheet2!$AB$4&gt;=Sheet2!$AA$4,Sheet2!$W$5,IF(AND(Sheet1!O162&lt;Sheet2!$X$4,Sheet1!P162&lt;Sheet2!$Y$4,Sheet1!Q162&lt;Sheet2!$Z$4),Sheet2!$W$4,Sheet2!$W$5)),Sheet2!$W$6)),Sheet2!$W$7)),"超出《标准包裹》尺寸"))</f>
        <v>标准包裹</v>
      </c>
      <c r="T162" s="69">
        <f>H162*1.38-N162-M162</f>
        <v>8.6052</v>
      </c>
      <c r="Y162" s="76"/>
    </row>
    <row r="163" spans="1:25">
      <c r="A163" s="46"/>
      <c r="B163" s="47"/>
      <c r="C163" s="45"/>
      <c r="D163" s="39">
        <v>0</v>
      </c>
      <c r="E163" s="52">
        <f t="shared" si="39"/>
        <v>9</v>
      </c>
      <c r="F163" s="53" t="s">
        <v>39</v>
      </c>
      <c r="G163" s="52">
        <v>0</v>
      </c>
      <c r="H163" s="52">
        <f t="shared" si="40"/>
        <v>51</v>
      </c>
      <c r="I163" s="52" t="s">
        <v>30</v>
      </c>
      <c r="J163" s="52">
        <f>IF(OR(C163=Sheet2!$A$10),0,L163*0.2)</f>
        <v>0</v>
      </c>
      <c r="K163" s="52">
        <f t="shared" si="41"/>
        <v>51</v>
      </c>
      <c r="L163" s="59">
        <v>60</v>
      </c>
      <c r="M163" s="52">
        <f>R163*$B$1</f>
        <v>7.6</v>
      </c>
      <c r="N163" s="24">
        <v>8</v>
      </c>
      <c r="O163" s="64"/>
      <c r="P163" s="64"/>
      <c r="Q163" s="64"/>
      <c r="R163" s="24">
        <v>200</v>
      </c>
      <c r="S163" s="70"/>
      <c r="T163" s="69">
        <f>H163*0.44-N163-M163</f>
        <v>6.84</v>
      </c>
      <c r="Y163" s="76"/>
    </row>
    <row r="164" ht="15" customHeight="1" spans="1:25">
      <c r="A164" s="77"/>
      <c r="B164" s="44"/>
      <c r="C164" s="45" t="s">
        <v>29</v>
      </c>
      <c r="D164" s="39">
        <f>IF(S164=Sheet2!$W$4,INDEX(Sheet2!$J$5:$Q$5,1,MATCH(Sheet1!C164,Sheet2!$J$3:$Q$3,0)),IF(S164=Sheet2!$W$5,INDEX(Sheet2!$J$6:$Q$8,MATCH(Sheet1!R164,Sheet2!$H$6:$H$8,1),MATCH(Sheet1!C164,Sheet2!$J$3:$Q$3,0)),IF(S164=Sheet2!$W$6,INDEX(Sheet2!$J$9:$Q$9,1,MATCH(Sheet1!C164,Sheet2!$J$3:$Q$3,0)),IF(S164=Sheet2!$W$7,INDEX(Sheet2!$J$10:$Q$24,MATCH(Sheet1!R164,Sheet2!$H$10:$H$24,1),MATCH(Sheet1!C164,Sheet2!$J$3:$Q$3,0)),"ERR COUNTRY!"))))</f>
        <v>2.77</v>
      </c>
      <c r="E164" s="52">
        <f t="shared" si="39"/>
        <v>1.7985</v>
      </c>
      <c r="F164" s="53" t="s">
        <v>30</v>
      </c>
      <c r="G164" s="52">
        <f t="shared" ref="G164:G171" si="45">L164-L164/(1+20%)</f>
        <v>1.99833333333333</v>
      </c>
      <c r="H164" s="52">
        <f t="shared" si="40"/>
        <v>3.02516666666667</v>
      </c>
      <c r="I164" s="52" t="s">
        <v>30</v>
      </c>
      <c r="J164" s="52">
        <f>IF(OR(C164=Sheet2!$A$10),0,L164*0.2)</f>
        <v>2.398</v>
      </c>
      <c r="K164" s="52">
        <f t="shared" si="41"/>
        <v>5.42316666666667</v>
      </c>
      <c r="L164" s="58">
        <v>11.99</v>
      </c>
      <c r="M164" s="52">
        <f>R164*$B$1</f>
        <v>7.6</v>
      </c>
      <c r="N164" s="24">
        <v>8</v>
      </c>
      <c r="O164" s="24">
        <v>24</v>
      </c>
      <c r="P164" s="24">
        <v>22</v>
      </c>
      <c r="Q164" s="24">
        <v>5</v>
      </c>
      <c r="R164" s="24">
        <v>200</v>
      </c>
      <c r="S164" s="26" t="str">
        <f>IF(Sheet1!R164+Sheet2!$AB$7&gt;=Sheet2!$AA$7,"超出《标准包裹》重量",IF(AND(Sheet1!O164&lt;Sheet2!$X$7,Sheet1!P164&lt;Sheet2!$Y$7,Sheet1!Q164&lt;Sheet2!$Z$7),IF(Sheet1!R164+Sheet2!$AB$6&gt;=Sheet2!$AA$6,Sheet2!$W$7,IF(AND(Sheet1!O164&lt;Sheet2!$X$6,Sheet1!P164&lt;Sheet2!$Y$6,Sheet1!Q164&lt;Sheet2!$Z$6),IF(Sheet1!R164+Sheet2!$AB$5&gt;=Sheet2!$AA$5,Sheet2!$W$6,IF(AND(Sheet1!O164&lt;Sheet2!$X$5,Sheet1!P164&lt;Sheet2!$Y$5,Sheet1!Q164&lt;Sheet2!$Z$5),IF(Sheet1!R164+Sheet2!$AB$4&gt;=Sheet2!$AA$4,Sheet2!$W$5,IF(AND(Sheet1!O164&lt;Sheet2!$X$4,Sheet1!P164&lt;Sheet2!$Y$4,Sheet1!Q164&lt;Sheet2!$Z$4),Sheet2!$W$4,Sheet2!$W$5)),Sheet2!$W$6)),Sheet2!$W$7)),"超出《标准包裹》尺寸"))</f>
        <v>标准包裹</v>
      </c>
      <c r="T164" s="69">
        <f>H164*8.3-N164-M164</f>
        <v>9.50888333333334</v>
      </c>
      <c r="W164" s="74"/>
      <c r="X164" s="74"/>
      <c r="Y164" s="76"/>
    </row>
    <row r="165" ht="15" customHeight="1" spans="1:25">
      <c r="A165" s="46"/>
      <c r="B165" s="47"/>
      <c r="C165" s="45" t="s">
        <v>31</v>
      </c>
      <c r="D165" s="39">
        <f>IF(S165=Sheet2!$W$4,INDEX(Sheet2!$J$5:$Q$5,1,MATCH(Sheet1!C165,Sheet2!$J$3:$Q$3,0)),IF(S165=Sheet2!$W$5,INDEX(Sheet2!$J$6:$Q$8,MATCH(Sheet1!R165,Sheet2!$H$6:$H$8,1),MATCH(Sheet1!C165,Sheet2!$J$3:$Q$3,0)),IF(S165=Sheet2!$W$6,INDEX(Sheet2!$J$9:$Q$9,1,MATCH(Sheet1!C165,Sheet2!$J$3:$Q$3,0)),IF(S165=Sheet2!$W$7,INDEX(Sheet2!$J$10:$Q$24,MATCH(Sheet1!R165,Sheet2!$H$10:$H$24,1),MATCH(Sheet1!C165,Sheet2!$J$3:$Q$3,0)),"ERR COUNTRY!"))))</f>
        <v>3.73</v>
      </c>
      <c r="E165" s="52">
        <f t="shared" si="39"/>
        <v>2.0985</v>
      </c>
      <c r="F165" s="53" t="s">
        <v>30</v>
      </c>
      <c r="G165" s="52">
        <f t="shared" si="45"/>
        <v>2.33166666666667</v>
      </c>
      <c r="H165" s="52">
        <f t="shared" si="40"/>
        <v>3.03183333333333</v>
      </c>
      <c r="I165" s="52" t="s">
        <v>30</v>
      </c>
      <c r="J165" s="52">
        <f>IF(OR(C165=Sheet2!$A$10),0,L165*0.2)</f>
        <v>2.798</v>
      </c>
      <c r="K165" s="52">
        <f t="shared" si="41"/>
        <v>5.82983333333333</v>
      </c>
      <c r="L165" s="58">
        <v>13.99</v>
      </c>
      <c r="M165" s="52">
        <f>R165*$B$1</f>
        <v>7.6</v>
      </c>
      <c r="N165" s="24">
        <v>8</v>
      </c>
      <c r="O165" s="24">
        <v>24</v>
      </c>
      <c r="P165" s="24">
        <v>22</v>
      </c>
      <c r="Q165" s="24">
        <v>5</v>
      </c>
      <c r="R165" s="24">
        <v>200</v>
      </c>
      <c r="S165" s="26" t="str">
        <f>IF(Sheet1!R165+Sheet2!$AB$7&gt;=Sheet2!$AA$7,"超出《标准包裹》重量",IF(AND(Sheet1!O165&lt;Sheet2!$X$7,Sheet1!P165&lt;Sheet2!$Y$7,Sheet1!Q165&lt;Sheet2!$Z$7),IF(Sheet1!R165+Sheet2!$AB$6&gt;=Sheet2!$AA$6,Sheet2!$W$7,IF(AND(Sheet1!O165&lt;Sheet2!$X$6,Sheet1!P165&lt;Sheet2!$Y$6,Sheet1!Q165&lt;Sheet2!$Z$6),IF(Sheet1!R165+Sheet2!$AB$5&gt;=Sheet2!$AA$5,Sheet2!$W$6,IF(AND(Sheet1!O165&lt;Sheet2!$X$5,Sheet1!P165&lt;Sheet2!$Y$5,Sheet1!Q165&lt;Sheet2!$Z$5),IF(Sheet1!R165+Sheet2!$AB$4&gt;=Sheet2!$AA$4,Sheet2!$W$5,IF(AND(Sheet1!O165&lt;Sheet2!$X$4,Sheet1!P165&lt;Sheet2!$Y$4,Sheet1!Q165&lt;Sheet2!$Z$4),Sheet2!$W$4,Sheet2!$W$5)),Sheet2!$W$6)),Sheet2!$W$7)),"超出《标准包裹》尺寸"))</f>
        <v>标准包裹</v>
      </c>
      <c r="T165" s="69">
        <f t="shared" ref="T165:T169" si="46">H165*7.1-N165-M165</f>
        <v>5.92601666666666</v>
      </c>
      <c r="X165" s="74"/>
      <c r="Y165" s="76"/>
    </row>
    <row r="166" ht="15" customHeight="1" spans="1:25">
      <c r="A166" s="46"/>
      <c r="B166" s="47"/>
      <c r="C166" s="45" t="s">
        <v>32</v>
      </c>
      <c r="D166" s="39">
        <f>IF(S166=Sheet2!$W$4,INDEX(Sheet2!$J$5:$Q$5,1,MATCH(Sheet1!C166,Sheet2!$J$3:$Q$3,0)),IF(S166=Sheet2!$W$5,INDEX(Sheet2!$J$6:$Q$8,MATCH(Sheet1!R166,Sheet2!$H$6:$H$8,1),MATCH(Sheet1!C166,Sheet2!$J$3:$Q$3,0)),IF(S166=Sheet2!$W$6,INDEX(Sheet2!$J$9:$Q$9,1,MATCH(Sheet1!C166,Sheet2!$J$3:$Q$3,0)),IF(S166=Sheet2!$W$7,INDEX(Sheet2!$J$10:$Q$24,MATCH(Sheet1!R166,Sheet2!$H$10:$H$24,1),MATCH(Sheet1!C166,Sheet2!$J$3:$Q$3,0)),"ERR COUNTRY!"))))</f>
        <v>5.27</v>
      </c>
      <c r="E166" s="52">
        <f t="shared" si="39"/>
        <v>2.6985</v>
      </c>
      <c r="F166" s="53" t="s">
        <v>30</v>
      </c>
      <c r="G166" s="52">
        <f t="shared" si="45"/>
        <v>2.99833333333333</v>
      </c>
      <c r="H166" s="52">
        <f t="shared" si="40"/>
        <v>3.42516666666667</v>
      </c>
      <c r="I166" s="52" t="s">
        <v>30</v>
      </c>
      <c r="J166" s="52">
        <f>IF(OR(C166=Sheet2!$A$10),0,L166*0.2)</f>
        <v>3.598</v>
      </c>
      <c r="K166" s="52">
        <f t="shared" si="41"/>
        <v>7.02316666666667</v>
      </c>
      <c r="L166" s="58">
        <v>17.99</v>
      </c>
      <c r="M166" s="52">
        <f>R166*$B$1</f>
        <v>7.6</v>
      </c>
      <c r="N166" s="24">
        <v>8</v>
      </c>
      <c r="O166" s="24">
        <v>24</v>
      </c>
      <c r="P166" s="24">
        <v>22</v>
      </c>
      <c r="Q166" s="24">
        <v>5</v>
      </c>
      <c r="R166" s="24">
        <v>200</v>
      </c>
      <c r="S166" s="26" t="str">
        <f>IF(Sheet1!R166+Sheet2!$AB$7&gt;=Sheet2!$AA$7,"超出《标准包裹》重量",IF(AND(Sheet1!O166&lt;Sheet2!$X$7,Sheet1!P166&lt;Sheet2!$Y$7,Sheet1!Q166&lt;Sheet2!$Z$7),IF(Sheet1!R166+Sheet2!$AB$6&gt;=Sheet2!$AA$6,Sheet2!$W$7,IF(AND(Sheet1!O166&lt;Sheet2!$X$6,Sheet1!P166&lt;Sheet2!$Y$6,Sheet1!Q166&lt;Sheet2!$Z$6),IF(Sheet1!R166+Sheet2!$AB$5&gt;=Sheet2!$AA$5,Sheet2!$W$6,IF(AND(Sheet1!O166&lt;Sheet2!$X$5,Sheet1!P166&lt;Sheet2!$Y$5,Sheet1!Q166&lt;Sheet2!$Z$5),IF(Sheet1!R166+Sheet2!$AB$4&gt;=Sheet2!$AA$4,Sheet2!$W$5,IF(AND(Sheet1!O166&lt;Sheet2!$X$4,Sheet1!P166&lt;Sheet2!$Y$4,Sheet1!Q166&lt;Sheet2!$Z$4),Sheet2!$W$4,Sheet2!$W$5)),Sheet2!$W$6)),Sheet2!$W$7)),"超出《标准包裹》尺寸"))</f>
        <v>标准包裹</v>
      </c>
      <c r="T166" s="69">
        <f t="shared" si="46"/>
        <v>8.71868333333333</v>
      </c>
      <c r="Y166" s="76"/>
    </row>
    <row r="167" ht="15" customHeight="1" spans="1:25">
      <c r="A167" s="46"/>
      <c r="B167" s="47"/>
      <c r="C167" s="45" t="s">
        <v>33</v>
      </c>
      <c r="D167" s="39">
        <f>IF(S167=Sheet2!$W$4,INDEX(Sheet2!$J$5:$Q$5,1,MATCH(Sheet1!C167,Sheet2!$J$3:$Q$3,0)),IF(S167=Sheet2!$W$5,INDEX(Sheet2!$J$6:$Q$8,MATCH(Sheet1!R167,Sheet2!$H$6:$H$8,1),MATCH(Sheet1!C167,Sheet2!$J$3:$Q$3,0)),IF(S167=Sheet2!$W$6,INDEX(Sheet2!$J$9:$Q$9,1,MATCH(Sheet1!C167,Sheet2!$J$3:$Q$3,0)),IF(S167=Sheet2!$W$7,INDEX(Sheet2!$J$10:$Q$24,MATCH(Sheet1!R167,Sheet2!$H$10:$H$24,1),MATCH(Sheet1!C167,Sheet2!$J$3:$Q$3,0)),"ERR COUNTRY!"))))</f>
        <v>4.82</v>
      </c>
      <c r="E167" s="52">
        <f t="shared" si="39"/>
        <v>2.3985</v>
      </c>
      <c r="F167" s="53" t="s">
        <v>30</v>
      </c>
      <c r="G167" s="52">
        <f t="shared" si="45"/>
        <v>2.665</v>
      </c>
      <c r="H167" s="52">
        <f t="shared" si="40"/>
        <v>2.9085</v>
      </c>
      <c r="I167" s="52" t="s">
        <v>30</v>
      </c>
      <c r="J167" s="52">
        <f>IF(OR(C167=Sheet2!$A$10),0,L167*0.2)</f>
        <v>3.198</v>
      </c>
      <c r="K167" s="52">
        <f t="shared" si="41"/>
        <v>6.1065</v>
      </c>
      <c r="L167" s="58">
        <v>15.99</v>
      </c>
      <c r="M167" s="52">
        <f>R167*$B$1</f>
        <v>7.6</v>
      </c>
      <c r="N167" s="24">
        <v>8</v>
      </c>
      <c r="O167" s="24">
        <v>24</v>
      </c>
      <c r="P167" s="24">
        <v>22</v>
      </c>
      <c r="Q167" s="24">
        <v>5</v>
      </c>
      <c r="R167" s="24">
        <v>200</v>
      </c>
      <c r="S167" s="26" t="str">
        <f>IF(Sheet1!R167+Sheet2!$AB$7&gt;=Sheet2!$AA$7,"超出《标准包裹》重量",IF(AND(Sheet1!O167&lt;Sheet2!$X$7,Sheet1!P167&lt;Sheet2!$Y$7,Sheet1!Q167&lt;Sheet2!$Z$7),IF(Sheet1!R167+Sheet2!$AB$6&gt;=Sheet2!$AA$6,Sheet2!$W$7,IF(AND(Sheet1!O167&lt;Sheet2!$X$6,Sheet1!P167&lt;Sheet2!$Y$6,Sheet1!Q167&lt;Sheet2!$Z$6),IF(Sheet1!R167+Sheet2!$AB$5&gt;=Sheet2!$AA$5,Sheet2!$W$6,IF(AND(Sheet1!O167&lt;Sheet2!$X$5,Sheet1!P167&lt;Sheet2!$Y$5,Sheet1!Q167&lt;Sheet2!$Z$5),IF(Sheet1!R167+Sheet2!$AB$4&gt;=Sheet2!$AA$4,Sheet2!$W$5,IF(AND(Sheet1!O167&lt;Sheet2!$X$4,Sheet1!P167&lt;Sheet2!$Y$4,Sheet1!Q167&lt;Sheet2!$Z$4),Sheet2!$W$4,Sheet2!$W$5)),Sheet2!$W$6)),Sheet2!$W$7)),"超出《标准包裹》尺寸"))</f>
        <v>标准包裹</v>
      </c>
      <c r="T167" s="69">
        <f t="shared" si="46"/>
        <v>5.05035</v>
      </c>
      <c r="W167" s="75"/>
      <c r="X167" s="75"/>
      <c r="Y167" s="76"/>
    </row>
    <row r="168" ht="15" customHeight="1" spans="1:25">
      <c r="A168" s="46"/>
      <c r="B168" s="47"/>
      <c r="C168" s="45" t="s">
        <v>34</v>
      </c>
      <c r="D168" s="39">
        <f>IF(S168=Sheet2!$W$4,INDEX(Sheet2!$J$5:$Q$5,1,MATCH(Sheet1!C168,Sheet2!$J$3:$Q$3,0)),IF(S168=Sheet2!$W$5,INDEX(Sheet2!$J$6:$Q$8,MATCH(Sheet1!R168,Sheet2!$H$6:$H$8,1),MATCH(Sheet1!C168,Sheet2!$J$3:$Q$3,0)),IF(S168=Sheet2!$W$6,INDEX(Sheet2!$J$9:$Q$9,1,MATCH(Sheet1!C168,Sheet2!$J$3:$Q$3,0)),IF(S168=Sheet2!$W$7,INDEX(Sheet2!$J$10:$Q$24,MATCH(Sheet1!R168,Sheet2!$H$10:$H$24,1),MATCH(Sheet1!C168,Sheet2!$J$3:$Q$3,0)),"ERR COUNTRY!"))))</f>
        <v>4.1</v>
      </c>
      <c r="E168" s="52">
        <f t="shared" si="39"/>
        <v>2.2485</v>
      </c>
      <c r="F168" s="53" t="s">
        <v>30</v>
      </c>
      <c r="G168" s="52">
        <f t="shared" si="45"/>
        <v>2.49833333333333</v>
      </c>
      <c r="H168" s="52">
        <f t="shared" si="40"/>
        <v>3.14516666666667</v>
      </c>
      <c r="I168" s="52" t="s">
        <v>30</v>
      </c>
      <c r="J168" s="52">
        <f>IF(OR(C168=Sheet2!$A$10),0,L168*0.2)</f>
        <v>2.998</v>
      </c>
      <c r="K168" s="52">
        <f t="shared" si="41"/>
        <v>6.14316666666667</v>
      </c>
      <c r="L168" s="58">
        <v>14.99</v>
      </c>
      <c r="M168" s="52">
        <f>R168*$B$1</f>
        <v>7.6</v>
      </c>
      <c r="N168" s="24">
        <v>8</v>
      </c>
      <c r="O168" s="24">
        <v>24</v>
      </c>
      <c r="P168" s="24">
        <v>22</v>
      </c>
      <c r="Q168" s="24">
        <v>5</v>
      </c>
      <c r="R168" s="24">
        <v>200</v>
      </c>
      <c r="S168" s="26" t="str">
        <f>IF(Sheet1!R168+Sheet2!$AB$7&gt;=Sheet2!$AA$7,"超出《标准包裹》重量",IF(AND(Sheet1!O168&lt;Sheet2!$X$7,Sheet1!P168&lt;Sheet2!$Y$7,Sheet1!Q168&lt;Sheet2!$Z$7),IF(Sheet1!R168+Sheet2!$AB$6&gt;=Sheet2!$AA$6,Sheet2!$W$7,IF(AND(Sheet1!O168&lt;Sheet2!$X$6,Sheet1!P168&lt;Sheet2!$Y$6,Sheet1!Q168&lt;Sheet2!$Z$6),IF(Sheet1!R168+Sheet2!$AB$5&gt;=Sheet2!$AA$5,Sheet2!$W$6,IF(AND(Sheet1!O168&lt;Sheet2!$X$5,Sheet1!P168&lt;Sheet2!$Y$5,Sheet1!Q168&lt;Sheet2!$Z$5),IF(Sheet1!R168+Sheet2!$AB$4&gt;=Sheet2!$AA$4,Sheet2!$W$5,IF(AND(Sheet1!O168&lt;Sheet2!$X$4,Sheet1!P168&lt;Sheet2!$Y$4,Sheet1!Q168&lt;Sheet2!$Z$4),Sheet2!$W$4,Sheet2!$W$5)),Sheet2!$W$6)),Sheet2!$W$7)),"超出《标准包裹》尺寸"))</f>
        <v>标准包裹</v>
      </c>
      <c r="T168" s="69">
        <f t="shared" si="46"/>
        <v>6.73068333333333</v>
      </c>
      <c r="Y168" s="76"/>
    </row>
    <row r="169" ht="15" customHeight="1" spans="1:25">
      <c r="A169" s="46"/>
      <c r="B169" s="47"/>
      <c r="C169" s="45" t="s">
        <v>35</v>
      </c>
      <c r="D169" s="39">
        <f>IF(S169=Sheet2!$W$4,INDEX(Sheet2!$J$5:$Q$5,1,MATCH(Sheet1!C169,Sheet2!$J$3:$Q$3,0)),IF(S169=Sheet2!$W$5,INDEX(Sheet2!$J$6:$Q$8,MATCH(Sheet1!R169,Sheet2!$H$6:$H$8,1),MATCH(Sheet1!C169,Sheet2!$J$3:$Q$3,0)),IF(S169=Sheet2!$W$6,INDEX(Sheet2!$J$9:$Q$9,1,MATCH(Sheet1!C169,Sheet2!$J$3:$Q$3,0)),IF(S169=Sheet2!$W$7,INDEX(Sheet2!$J$10:$Q$24,MATCH(Sheet1!R169,Sheet2!$H$10:$H$24,1),MATCH(Sheet1!C169,Sheet2!$J$3:$Q$3,0)),"ERR COUNTRY!"))))</f>
        <v>3.16</v>
      </c>
      <c r="E169" s="52">
        <f t="shared" si="39"/>
        <v>2.0985</v>
      </c>
      <c r="F169" s="53" t="s">
        <v>30</v>
      </c>
      <c r="G169" s="52">
        <f t="shared" si="45"/>
        <v>2.33166666666667</v>
      </c>
      <c r="H169" s="52">
        <f t="shared" si="40"/>
        <v>3.60183333333333</v>
      </c>
      <c r="I169" s="52" t="s">
        <v>30</v>
      </c>
      <c r="J169" s="52">
        <f>IF(OR(C169=Sheet2!$A$10),0,L169*0.2)</f>
        <v>2.798</v>
      </c>
      <c r="K169" s="52">
        <f t="shared" si="41"/>
        <v>6.39983333333333</v>
      </c>
      <c r="L169" s="58">
        <v>13.99</v>
      </c>
      <c r="M169" s="52">
        <f>R169*$B$1</f>
        <v>7.6</v>
      </c>
      <c r="N169" s="24">
        <v>8</v>
      </c>
      <c r="O169" s="24">
        <v>24</v>
      </c>
      <c r="P169" s="24">
        <v>22</v>
      </c>
      <c r="Q169" s="24">
        <v>5</v>
      </c>
      <c r="R169" s="24">
        <v>200</v>
      </c>
      <c r="S169" s="26" t="str">
        <f>IF(Sheet1!R169+Sheet2!$AB$7&gt;=Sheet2!$AA$7,"超出《标准包裹》重量",IF(AND(Sheet1!O169&lt;Sheet2!$X$7,Sheet1!P169&lt;Sheet2!$Y$7,Sheet1!Q169&lt;Sheet2!$Z$7),IF(Sheet1!R169+Sheet2!$AB$6&gt;=Sheet2!$AA$6,Sheet2!$W$7,IF(AND(Sheet1!O169&lt;Sheet2!$X$6,Sheet1!P169&lt;Sheet2!$Y$6,Sheet1!Q169&lt;Sheet2!$Z$6),IF(Sheet1!R169+Sheet2!$AB$5&gt;=Sheet2!$AA$5,Sheet2!$W$6,IF(AND(Sheet1!O169&lt;Sheet2!$X$5,Sheet1!P169&lt;Sheet2!$Y$5,Sheet1!Q169&lt;Sheet2!$Z$5),IF(Sheet1!R169+Sheet2!$AB$4&gt;=Sheet2!$AA$4,Sheet2!$W$5,IF(AND(Sheet1!O169&lt;Sheet2!$X$4,Sheet1!P169&lt;Sheet2!$Y$4,Sheet1!Q169&lt;Sheet2!$Z$4),Sheet2!$W$4,Sheet2!$W$5)),Sheet2!$W$6)),Sheet2!$W$7)),"超出《标准包裹》尺寸"))</f>
        <v>标准包裹</v>
      </c>
      <c r="T169" s="69">
        <f t="shared" si="46"/>
        <v>9.97301666666667</v>
      </c>
      <c r="Y169" s="76"/>
    </row>
    <row r="170" ht="15" customHeight="1" spans="1:25">
      <c r="A170" s="46"/>
      <c r="B170" s="47"/>
      <c r="C170" s="45" t="s">
        <v>36</v>
      </c>
      <c r="D170" s="39">
        <f>IF(S170=Sheet2!$W$4,INDEX(Sheet2!$J$5:$Q$5,1,MATCH(Sheet1!C170,Sheet2!$J$3:$Q$3,0)),IF(S170=Sheet2!$W$5,INDEX(Sheet2!$J$6:$Q$8,MATCH(Sheet1!R170,Sheet2!$H$6:$H$8,1),MATCH(Sheet1!C170,Sheet2!$J$3:$Q$3,0)),IF(S170=Sheet2!$W$6,INDEX(Sheet2!$J$9:$Q$9,1,MATCH(Sheet1!C170,Sheet2!$J$3:$Q$3,0)),IF(S170=Sheet2!$W$7,INDEX(Sheet2!$J$10:$Q$24,MATCH(Sheet1!R170,Sheet2!$H$10:$H$24,1),MATCH(Sheet1!C170,Sheet2!$J$3:$Q$3,0)),"ERR COUNTRY!"))))</f>
        <v>42.91</v>
      </c>
      <c r="E170" s="52">
        <f t="shared" si="39"/>
        <v>21.3</v>
      </c>
      <c r="F170" s="53" t="s">
        <v>30</v>
      </c>
      <c r="G170" s="52">
        <f t="shared" si="45"/>
        <v>23.6666666666667</v>
      </c>
      <c r="H170" s="52">
        <f t="shared" si="40"/>
        <v>25.7233333333333</v>
      </c>
      <c r="I170" s="52" t="s">
        <v>30</v>
      </c>
      <c r="J170" s="52">
        <f>IF(OR(C170=Sheet2!$A$10),0,L170*0.2)</f>
        <v>28.4</v>
      </c>
      <c r="K170" s="52">
        <f t="shared" si="41"/>
        <v>54.1233333333333</v>
      </c>
      <c r="L170" s="58">
        <v>142</v>
      </c>
      <c r="M170" s="52">
        <f>R170*$B$1</f>
        <v>7.6</v>
      </c>
      <c r="N170" s="24">
        <v>8</v>
      </c>
      <c r="O170" s="24">
        <v>24</v>
      </c>
      <c r="P170" s="24">
        <v>22</v>
      </c>
      <c r="Q170" s="24">
        <v>5</v>
      </c>
      <c r="R170" s="24">
        <v>200</v>
      </c>
      <c r="S170" s="26" t="str">
        <f>IF(Sheet1!R170+Sheet2!$AB$7&gt;=Sheet2!$AA$7,"超出《标准包裹》重量",IF(AND(Sheet1!O170&lt;Sheet2!$X$7,Sheet1!P170&lt;Sheet2!$Y$7,Sheet1!Q170&lt;Sheet2!$Z$7),IF(Sheet1!R170+Sheet2!$AB$6&gt;=Sheet2!$AA$6,Sheet2!$W$7,IF(AND(Sheet1!O170&lt;Sheet2!$X$6,Sheet1!P170&lt;Sheet2!$Y$6,Sheet1!Q170&lt;Sheet2!$Z$6),IF(Sheet1!R170+Sheet2!$AB$5&gt;=Sheet2!$AA$5,Sheet2!$W$6,IF(AND(Sheet1!O170&lt;Sheet2!$X$5,Sheet1!P170&lt;Sheet2!$Y$5,Sheet1!Q170&lt;Sheet2!$Z$5),IF(Sheet1!R170+Sheet2!$AB$4&gt;=Sheet2!$AA$4,Sheet2!$W$5,IF(AND(Sheet1!O170&lt;Sheet2!$X$4,Sheet1!P170&lt;Sheet2!$Y$4,Sheet1!Q170&lt;Sheet2!$Z$4),Sheet2!$W$4,Sheet2!$W$5)),Sheet2!$W$6)),Sheet2!$W$7)),"超出《标准包裹》尺寸"))</f>
        <v>标准包裹</v>
      </c>
      <c r="T170" s="69">
        <f>H170*0.63-N170-M170</f>
        <v>0.605700000000008</v>
      </c>
      <c r="Y170" s="76"/>
    </row>
    <row r="171" ht="15" customHeight="1" spans="1:25">
      <c r="A171" s="46"/>
      <c r="B171" s="47"/>
      <c r="C171" s="45" t="s">
        <v>37</v>
      </c>
      <c r="D171" s="39">
        <f>IF(S171=Sheet2!$W$4,INDEX(Sheet2!$J$5:$Q$5,1,MATCH(Sheet1!C171,Sheet2!$J$3:$Q$3,0)),IF(S171=Sheet2!$W$5,INDEX(Sheet2!$J$6:$Q$8,MATCH(Sheet1!R171,Sheet2!$H$6:$H$8,1),MATCH(Sheet1!C171,Sheet2!$J$3:$Q$3,0)),IF(S171=Sheet2!$W$6,INDEX(Sheet2!$J$9:$Q$9,1,MATCH(Sheet1!C171,Sheet2!$J$3:$Q$3,0)),IF(S171=Sheet2!$W$7,INDEX(Sheet2!$J$10:$Q$24,MATCH(Sheet1!R171,Sheet2!$H$10:$H$24,1),MATCH(Sheet1!C171,Sheet2!$J$3:$Q$3,0)),"ERR COUNTRY!"))))</f>
        <v>5.66</v>
      </c>
      <c r="E171" s="52">
        <f t="shared" si="39"/>
        <v>7.2</v>
      </c>
      <c r="F171" s="53" t="s">
        <v>30</v>
      </c>
      <c r="G171" s="52">
        <f t="shared" si="45"/>
        <v>8</v>
      </c>
      <c r="H171" s="52">
        <f t="shared" si="40"/>
        <v>17.54</v>
      </c>
      <c r="I171" s="52" t="s">
        <v>30</v>
      </c>
      <c r="J171" s="52">
        <f>IF(OR(C171=Sheet2!$A$10),0,L171*0.2)</f>
        <v>9.6</v>
      </c>
      <c r="K171" s="52">
        <f t="shared" si="41"/>
        <v>27.14</v>
      </c>
      <c r="L171" s="58">
        <v>48</v>
      </c>
      <c r="M171" s="52">
        <f>R171*$B$1</f>
        <v>7.6</v>
      </c>
      <c r="N171" s="24">
        <v>8</v>
      </c>
      <c r="O171" s="24">
        <v>24</v>
      </c>
      <c r="P171" s="24">
        <v>22</v>
      </c>
      <c r="Q171" s="24">
        <v>5</v>
      </c>
      <c r="R171" s="24">
        <v>200</v>
      </c>
      <c r="S171" s="26" t="str">
        <f>IF(Sheet1!R171+Sheet2!$AB$7&gt;=Sheet2!$AA$7,"超出《标准包裹》重量",IF(AND(Sheet1!O171&lt;Sheet2!$X$7,Sheet1!P171&lt;Sheet2!$Y$7,Sheet1!Q171&lt;Sheet2!$Z$7),IF(Sheet1!R171+Sheet2!$AB$6&gt;=Sheet2!$AA$6,Sheet2!$W$7,IF(AND(Sheet1!O171&lt;Sheet2!$X$6,Sheet1!P171&lt;Sheet2!$Y$6,Sheet1!Q171&lt;Sheet2!$Z$6),IF(Sheet1!R171+Sheet2!$AB$5&gt;=Sheet2!$AA$5,Sheet2!$W$6,IF(AND(Sheet1!O171&lt;Sheet2!$X$5,Sheet1!P171&lt;Sheet2!$Y$5,Sheet1!Q171&lt;Sheet2!$Z$5),IF(Sheet1!R171+Sheet2!$AB$4&gt;=Sheet2!$AA$4,Sheet2!$W$5,IF(AND(Sheet1!O171&lt;Sheet2!$X$4,Sheet1!P171&lt;Sheet2!$Y$4,Sheet1!Q171&lt;Sheet2!$Z$4),Sheet2!$W$4,Sheet2!$W$5)),Sheet2!$W$6)),Sheet2!$W$7)),"超出《标准包裹》尺寸"))</f>
        <v>标准包裹</v>
      </c>
      <c r="T171" s="69">
        <f>H171*1.38-N171-M171</f>
        <v>8.6052</v>
      </c>
      <c r="Y171" s="76"/>
    </row>
    <row r="172" spans="1:25">
      <c r="A172" s="46"/>
      <c r="B172" s="47"/>
      <c r="C172" s="45"/>
      <c r="D172" s="39">
        <v>0</v>
      </c>
      <c r="E172" s="52">
        <f t="shared" si="39"/>
        <v>9</v>
      </c>
      <c r="F172" s="53" t="s">
        <v>39</v>
      </c>
      <c r="G172" s="52">
        <v>0</v>
      </c>
      <c r="H172" s="52">
        <f t="shared" si="40"/>
        <v>51</v>
      </c>
      <c r="I172" s="52" t="s">
        <v>30</v>
      </c>
      <c r="J172" s="52">
        <f>IF(OR(C172=Sheet2!$A$10),0,L172*0.2)</f>
        <v>0</v>
      </c>
      <c r="K172" s="52">
        <f t="shared" si="41"/>
        <v>51</v>
      </c>
      <c r="L172" s="59">
        <v>60</v>
      </c>
      <c r="M172" s="52">
        <f>R172*$B$1</f>
        <v>7.6</v>
      </c>
      <c r="N172" s="24">
        <v>8</v>
      </c>
      <c r="O172" s="64"/>
      <c r="P172" s="64"/>
      <c r="Q172" s="64"/>
      <c r="R172" s="24">
        <v>200</v>
      </c>
      <c r="S172" s="70"/>
      <c r="T172" s="69">
        <f>H172*0.44-N172-M172</f>
        <v>6.84</v>
      </c>
      <c r="Y172" s="76"/>
    </row>
    <row r="173" ht="15" customHeight="1" spans="1:25">
      <c r="A173" s="77"/>
      <c r="B173" s="44"/>
      <c r="C173" s="45" t="s">
        <v>29</v>
      </c>
      <c r="D173" s="39">
        <f>IF(S173=Sheet2!$W$4,INDEX(Sheet2!$J$5:$Q$5,1,MATCH(Sheet1!C173,Sheet2!$J$3:$Q$3,0)),IF(S173=Sheet2!$W$5,INDEX(Sheet2!$J$6:$Q$8,MATCH(Sheet1!R173,Sheet2!$H$6:$H$8,1),MATCH(Sheet1!C173,Sheet2!$J$3:$Q$3,0)),IF(S173=Sheet2!$W$6,INDEX(Sheet2!$J$9:$Q$9,1,MATCH(Sheet1!C173,Sheet2!$J$3:$Q$3,0)),IF(S173=Sheet2!$W$7,INDEX(Sheet2!$J$10:$Q$24,MATCH(Sheet1!R173,Sheet2!$H$10:$H$24,1),MATCH(Sheet1!C173,Sheet2!$J$3:$Q$3,0)),"ERR COUNTRY!"))))</f>
        <v>2.77</v>
      </c>
      <c r="E173" s="52">
        <f t="shared" si="39"/>
        <v>1.7985</v>
      </c>
      <c r="F173" s="53" t="s">
        <v>30</v>
      </c>
      <c r="G173" s="52">
        <f t="shared" ref="G173:G180" si="47">L173-L173/(1+20%)</f>
        <v>1.99833333333333</v>
      </c>
      <c r="H173" s="52">
        <f t="shared" si="40"/>
        <v>3.02516666666667</v>
      </c>
      <c r="I173" s="52" t="s">
        <v>30</v>
      </c>
      <c r="J173" s="52">
        <f>IF(OR(C173=Sheet2!$A$10),0,L173*0.2)</f>
        <v>2.398</v>
      </c>
      <c r="K173" s="52">
        <f t="shared" si="41"/>
        <v>5.42316666666667</v>
      </c>
      <c r="L173" s="58">
        <v>11.99</v>
      </c>
      <c r="M173" s="52">
        <f>R173*$B$1</f>
        <v>7.6</v>
      </c>
      <c r="N173" s="24">
        <v>8</v>
      </c>
      <c r="O173" s="24">
        <v>24</v>
      </c>
      <c r="P173" s="24">
        <v>22</v>
      </c>
      <c r="Q173" s="24">
        <v>5</v>
      </c>
      <c r="R173" s="24">
        <v>200</v>
      </c>
      <c r="S173" s="26" t="str">
        <f>IF(Sheet1!R173+Sheet2!$AB$7&gt;=Sheet2!$AA$7,"超出《标准包裹》重量",IF(AND(Sheet1!O173&lt;Sheet2!$X$7,Sheet1!P173&lt;Sheet2!$Y$7,Sheet1!Q173&lt;Sheet2!$Z$7),IF(Sheet1!R173+Sheet2!$AB$6&gt;=Sheet2!$AA$6,Sheet2!$W$7,IF(AND(Sheet1!O173&lt;Sheet2!$X$6,Sheet1!P173&lt;Sheet2!$Y$6,Sheet1!Q173&lt;Sheet2!$Z$6),IF(Sheet1!R173+Sheet2!$AB$5&gt;=Sheet2!$AA$5,Sheet2!$W$6,IF(AND(Sheet1!O173&lt;Sheet2!$X$5,Sheet1!P173&lt;Sheet2!$Y$5,Sheet1!Q173&lt;Sheet2!$Z$5),IF(Sheet1!R173+Sheet2!$AB$4&gt;=Sheet2!$AA$4,Sheet2!$W$5,IF(AND(Sheet1!O173&lt;Sheet2!$X$4,Sheet1!P173&lt;Sheet2!$Y$4,Sheet1!Q173&lt;Sheet2!$Z$4),Sheet2!$W$4,Sheet2!$W$5)),Sheet2!$W$6)),Sheet2!$W$7)),"超出《标准包裹》尺寸"))</f>
        <v>标准包裹</v>
      </c>
      <c r="T173" s="69">
        <f>H173*8.3-N173-M173</f>
        <v>9.50888333333334</v>
      </c>
      <c r="W173" s="74"/>
      <c r="X173" s="74"/>
      <c r="Y173" s="76"/>
    </row>
    <row r="174" ht="15" customHeight="1" spans="1:25">
      <c r="A174" s="46"/>
      <c r="B174" s="47"/>
      <c r="C174" s="45" t="s">
        <v>31</v>
      </c>
      <c r="D174" s="39">
        <f>IF(S174=Sheet2!$W$4,INDEX(Sheet2!$J$5:$Q$5,1,MATCH(Sheet1!C174,Sheet2!$J$3:$Q$3,0)),IF(S174=Sheet2!$W$5,INDEX(Sheet2!$J$6:$Q$8,MATCH(Sheet1!R174,Sheet2!$H$6:$H$8,1),MATCH(Sheet1!C174,Sheet2!$J$3:$Q$3,0)),IF(S174=Sheet2!$W$6,INDEX(Sheet2!$J$9:$Q$9,1,MATCH(Sheet1!C174,Sheet2!$J$3:$Q$3,0)),IF(S174=Sheet2!$W$7,INDEX(Sheet2!$J$10:$Q$24,MATCH(Sheet1!R174,Sheet2!$H$10:$H$24,1),MATCH(Sheet1!C174,Sheet2!$J$3:$Q$3,0)),"ERR COUNTRY!"))))</f>
        <v>3.73</v>
      </c>
      <c r="E174" s="52">
        <f t="shared" si="39"/>
        <v>2.0985</v>
      </c>
      <c r="F174" s="53" t="s">
        <v>30</v>
      </c>
      <c r="G174" s="52">
        <f t="shared" si="47"/>
        <v>2.33166666666667</v>
      </c>
      <c r="H174" s="52">
        <f t="shared" si="40"/>
        <v>3.03183333333333</v>
      </c>
      <c r="I174" s="52" t="s">
        <v>30</v>
      </c>
      <c r="J174" s="52">
        <f>IF(OR(C174=Sheet2!$A$10),0,L174*0.2)</f>
        <v>2.798</v>
      </c>
      <c r="K174" s="52">
        <f t="shared" si="41"/>
        <v>5.82983333333333</v>
      </c>
      <c r="L174" s="58">
        <v>13.99</v>
      </c>
      <c r="M174" s="52">
        <f>R174*$B$1</f>
        <v>7.6</v>
      </c>
      <c r="N174" s="24">
        <v>8</v>
      </c>
      <c r="O174" s="24">
        <v>24</v>
      </c>
      <c r="P174" s="24">
        <v>22</v>
      </c>
      <c r="Q174" s="24">
        <v>5</v>
      </c>
      <c r="R174" s="24">
        <v>200</v>
      </c>
      <c r="S174" s="26" t="str">
        <f>IF(Sheet1!R174+Sheet2!$AB$7&gt;=Sheet2!$AA$7,"超出《标准包裹》重量",IF(AND(Sheet1!O174&lt;Sheet2!$X$7,Sheet1!P174&lt;Sheet2!$Y$7,Sheet1!Q174&lt;Sheet2!$Z$7),IF(Sheet1!R174+Sheet2!$AB$6&gt;=Sheet2!$AA$6,Sheet2!$W$7,IF(AND(Sheet1!O174&lt;Sheet2!$X$6,Sheet1!P174&lt;Sheet2!$Y$6,Sheet1!Q174&lt;Sheet2!$Z$6),IF(Sheet1!R174+Sheet2!$AB$5&gt;=Sheet2!$AA$5,Sheet2!$W$6,IF(AND(Sheet1!O174&lt;Sheet2!$X$5,Sheet1!P174&lt;Sheet2!$Y$5,Sheet1!Q174&lt;Sheet2!$Z$5),IF(Sheet1!R174+Sheet2!$AB$4&gt;=Sheet2!$AA$4,Sheet2!$W$5,IF(AND(Sheet1!O174&lt;Sheet2!$X$4,Sheet1!P174&lt;Sheet2!$Y$4,Sheet1!Q174&lt;Sheet2!$Z$4),Sheet2!$W$4,Sheet2!$W$5)),Sheet2!$W$6)),Sheet2!$W$7)),"超出《标准包裹》尺寸"))</f>
        <v>标准包裹</v>
      </c>
      <c r="T174" s="69">
        <f t="shared" ref="T174:T178" si="48">H174*7.1-N174-M174</f>
        <v>5.92601666666666</v>
      </c>
      <c r="X174" s="74"/>
      <c r="Y174" s="76"/>
    </row>
    <row r="175" ht="15" customHeight="1" spans="1:25">
      <c r="A175" s="46"/>
      <c r="B175" s="47"/>
      <c r="C175" s="45" t="s">
        <v>32</v>
      </c>
      <c r="D175" s="39">
        <f>IF(S175=Sheet2!$W$4,INDEX(Sheet2!$J$5:$Q$5,1,MATCH(Sheet1!C175,Sheet2!$J$3:$Q$3,0)),IF(S175=Sheet2!$W$5,INDEX(Sheet2!$J$6:$Q$8,MATCH(Sheet1!R175,Sheet2!$H$6:$H$8,1),MATCH(Sheet1!C175,Sheet2!$J$3:$Q$3,0)),IF(S175=Sheet2!$W$6,INDEX(Sheet2!$J$9:$Q$9,1,MATCH(Sheet1!C175,Sheet2!$J$3:$Q$3,0)),IF(S175=Sheet2!$W$7,INDEX(Sheet2!$J$10:$Q$24,MATCH(Sheet1!R175,Sheet2!$H$10:$H$24,1),MATCH(Sheet1!C175,Sheet2!$J$3:$Q$3,0)),"ERR COUNTRY!"))))</f>
        <v>5.27</v>
      </c>
      <c r="E175" s="52">
        <f t="shared" si="39"/>
        <v>2.6985</v>
      </c>
      <c r="F175" s="53" t="s">
        <v>30</v>
      </c>
      <c r="G175" s="52">
        <f t="shared" si="47"/>
        <v>2.99833333333333</v>
      </c>
      <c r="H175" s="52">
        <f t="shared" si="40"/>
        <v>3.42516666666667</v>
      </c>
      <c r="I175" s="52" t="s">
        <v>30</v>
      </c>
      <c r="J175" s="52">
        <f>IF(OR(C175=Sheet2!$A$10),0,L175*0.2)</f>
        <v>3.598</v>
      </c>
      <c r="K175" s="52">
        <f t="shared" si="41"/>
        <v>7.02316666666667</v>
      </c>
      <c r="L175" s="58">
        <v>17.99</v>
      </c>
      <c r="M175" s="52">
        <f>R175*$B$1</f>
        <v>7.6</v>
      </c>
      <c r="N175" s="24">
        <v>8</v>
      </c>
      <c r="O175" s="24">
        <v>24</v>
      </c>
      <c r="P175" s="24">
        <v>22</v>
      </c>
      <c r="Q175" s="24">
        <v>5</v>
      </c>
      <c r="R175" s="24">
        <v>200</v>
      </c>
      <c r="S175" s="26" t="str">
        <f>IF(Sheet1!R175+Sheet2!$AB$7&gt;=Sheet2!$AA$7,"超出《标准包裹》重量",IF(AND(Sheet1!O175&lt;Sheet2!$X$7,Sheet1!P175&lt;Sheet2!$Y$7,Sheet1!Q175&lt;Sheet2!$Z$7),IF(Sheet1!R175+Sheet2!$AB$6&gt;=Sheet2!$AA$6,Sheet2!$W$7,IF(AND(Sheet1!O175&lt;Sheet2!$X$6,Sheet1!P175&lt;Sheet2!$Y$6,Sheet1!Q175&lt;Sheet2!$Z$6),IF(Sheet1!R175+Sheet2!$AB$5&gt;=Sheet2!$AA$5,Sheet2!$W$6,IF(AND(Sheet1!O175&lt;Sheet2!$X$5,Sheet1!P175&lt;Sheet2!$Y$5,Sheet1!Q175&lt;Sheet2!$Z$5),IF(Sheet1!R175+Sheet2!$AB$4&gt;=Sheet2!$AA$4,Sheet2!$W$5,IF(AND(Sheet1!O175&lt;Sheet2!$X$4,Sheet1!P175&lt;Sheet2!$Y$4,Sheet1!Q175&lt;Sheet2!$Z$4),Sheet2!$W$4,Sheet2!$W$5)),Sheet2!$W$6)),Sheet2!$W$7)),"超出《标准包裹》尺寸"))</f>
        <v>标准包裹</v>
      </c>
      <c r="T175" s="69">
        <f t="shared" si="48"/>
        <v>8.71868333333333</v>
      </c>
      <c r="Y175" s="76"/>
    </row>
    <row r="176" ht="15" customHeight="1" spans="1:25">
      <c r="A176" s="46"/>
      <c r="B176" s="47"/>
      <c r="C176" s="45" t="s">
        <v>33</v>
      </c>
      <c r="D176" s="39">
        <f>IF(S176=Sheet2!$W$4,INDEX(Sheet2!$J$5:$Q$5,1,MATCH(Sheet1!C176,Sheet2!$J$3:$Q$3,0)),IF(S176=Sheet2!$W$5,INDEX(Sheet2!$J$6:$Q$8,MATCH(Sheet1!R176,Sheet2!$H$6:$H$8,1),MATCH(Sheet1!C176,Sheet2!$J$3:$Q$3,0)),IF(S176=Sheet2!$W$6,INDEX(Sheet2!$J$9:$Q$9,1,MATCH(Sheet1!C176,Sheet2!$J$3:$Q$3,0)),IF(S176=Sheet2!$W$7,INDEX(Sheet2!$J$10:$Q$24,MATCH(Sheet1!R176,Sheet2!$H$10:$H$24,1),MATCH(Sheet1!C176,Sheet2!$J$3:$Q$3,0)),"ERR COUNTRY!"))))</f>
        <v>4.82</v>
      </c>
      <c r="E176" s="52">
        <f t="shared" si="39"/>
        <v>2.3985</v>
      </c>
      <c r="F176" s="53" t="s">
        <v>30</v>
      </c>
      <c r="G176" s="52">
        <f t="shared" si="47"/>
        <v>2.665</v>
      </c>
      <c r="H176" s="52">
        <f t="shared" si="40"/>
        <v>2.9085</v>
      </c>
      <c r="I176" s="52" t="s">
        <v>30</v>
      </c>
      <c r="J176" s="52">
        <f>IF(OR(C176=Sheet2!$A$10),0,L176*0.2)</f>
        <v>3.198</v>
      </c>
      <c r="K176" s="52">
        <f t="shared" si="41"/>
        <v>6.1065</v>
      </c>
      <c r="L176" s="58">
        <v>15.99</v>
      </c>
      <c r="M176" s="52">
        <f>R176*$B$1</f>
        <v>7.6</v>
      </c>
      <c r="N176" s="24">
        <v>8</v>
      </c>
      <c r="O176" s="24">
        <v>24</v>
      </c>
      <c r="P176" s="24">
        <v>22</v>
      </c>
      <c r="Q176" s="24">
        <v>5</v>
      </c>
      <c r="R176" s="24">
        <v>200</v>
      </c>
      <c r="S176" s="26" t="str">
        <f>IF(Sheet1!R176+Sheet2!$AB$7&gt;=Sheet2!$AA$7,"超出《标准包裹》重量",IF(AND(Sheet1!O176&lt;Sheet2!$X$7,Sheet1!P176&lt;Sheet2!$Y$7,Sheet1!Q176&lt;Sheet2!$Z$7),IF(Sheet1!R176+Sheet2!$AB$6&gt;=Sheet2!$AA$6,Sheet2!$W$7,IF(AND(Sheet1!O176&lt;Sheet2!$X$6,Sheet1!P176&lt;Sheet2!$Y$6,Sheet1!Q176&lt;Sheet2!$Z$6),IF(Sheet1!R176+Sheet2!$AB$5&gt;=Sheet2!$AA$5,Sheet2!$W$6,IF(AND(Sheet1!O176&lt;Sheet2!$X$5,Sheet1!P176&lt;Sheet2!$Y$5,Sheet1!Q176&lt;Sheet2!$Z$5),IF(Sheet1!R176+Sheet2!$AB$4&gt;=Sheet2!$AA$4,Sheet2!$W$5,IF(AND(Sheet1!O176&lt;Sheet2!$X$4,Sheet1!P176&lt;Sheet2!$Y$4,Sheet1!Q176&lt;Sheet2!$Z$4),Sheet2!$W$4,Sheet2!$W$5)),Sheet2!$W$6)),Sheet2!$W$7)),"超出《标准包裹》尺寸"))</f>
        <v>标准包裹</v>
      </c>
      <c r="T176" s="69">
        <f t="shared" si="48"/>
        <v>5.05035</v>
      </c>
      <c r="W176" s="75"/>
      <c r="X176" s="75"/>
      <c r="Y176" s="76"/>
    </row>
    <row r="177" ht="15" customHeight="1" spans="1:25">
      <c r="A177" s="46"/>
      <c r="B177" s="47"/>
      <c r="C177" s="45" t="s">
        <v>34</v>
      </c>
      <c r="D177" s="39">
        <f>IF(S177=Sheet2!$W$4,INDEX(Sheet2!$J$5:$Q$5,1,MATCH(Sheet1!C177,Sheet2!$J$3:$Q$3,0)),IF(S177=Sheet2!$W$5,INDEX(Sheet2!$J$6:$Q$8,MATCH(Sheet1!R177,Sheet2!$H$6:$H$8,1),MATCH(Sheet1!C177,Sheet2!$J$3:$Q$3,0)),IF(S177=Sheet2!$W$6,INDEX(Sheet2!$J$9:$Q$9,1,MATCH(Sheet1!C177,Sheet2!$J$3:$Q$3,0)),IF(S177=Sheet2!$W$7,INDEX(Sheet2!$J$10:$Q$24,MATCH(Sheet1!R177,Sheet2!$H$10:$H$24,1),MATCH(Sheet1!C177,Sheet2!$J$3:$Q$3,0)),"ERR COUNTRY!"))))</f>
        <v>4.1</v>
      </c>
      <c r="E177" s="52">
        <f t="shared" si="39"/>
        <v>2.2485</v>
      </c>
      <c r="F177" s="53" t="s">
        <v>30</v>
      </c>
      <c r="G177" s="52">
        <f t="shared" si="47"/>
        <v>2.49833333333333</v>
      </c>
      <c r="H177" s="52">
        <f t="shared" si="40"/>
        <v>3.14516666666667</v>
      </c>
      <c r="I177" s="52" t="s">
        <v>30</v>
      </c>
      <c r="J177" s="52">
        <f>IF(OR(C177=Sheet2!$A$10),0,L177*0.2)</f>
        <v>2.998</v>
      </c>
      <c r="K177" s="52">
        <f t="shared" si="41"/>
        <v>6.14316666666667</v>
      </c>
      <c r="L177" s="58">
        <v>14.99</v>
      </c>
      <c r="M177" s="52">
        <f>R177*$B$1</f>
        <v>7.6</v>
      </c>
      <c r="N177" s="24">
        <v>8</v>
      </c>
      <c r="O177" s="24">
        <v>24</v>
      </c>
      <c r="P177" s="24">
        <v>22</v>
      </c>
      <c r="Q177" s="24">
        <v>5</v>
      </c>
      <c r="R177" s="24">
        <v>200</v>
      </c>
      <c r="S177" s="26" t="str">
        <f>IF(Sheet1!R177+Sheet2!$AB$7&gt;=Sheet2!$AA$7,"超出《标准包裹》重量",IF(AND(Sheet1!O177&lt;Sheet2!$X$7,Sheet1!P177&lt;Sheet2!$Y$7,Sheet1!Q177&lt;Sheet2!$Z$7),IF(Sheet1!R177+Sheet2!$AB$6&gt;=Sheet2!$AA$6,Sheet2!$W$7,IF(AND(Sheet1!O177&lt;Sheet2!$X$6,Sheet1!P177&lt;Sheet2!$Y$6,Sheet1!Q177&lt;Sheet2!$Z$6),IF(Sheet1!R177+Sheet2!$AB$5&gt;=Sheet2!$AA$5,Sheet2!$W$6,IF(AND(Sheet1!O177&lt;Sheet2!$X$5,Sheet1!P177&lt;Sheet2!$Y$5,Sheet1!Q177&lt;Sheet2!$Z$5),IF(Sheet1!R177+Sheet2!$AB$4&gt;=Sheet2!$AA$4,Sheet2!$W$5,IF(AND(Sheet1!O177&lt;Sheet2!$X$4,Sheet1!P177&lt;Sheet2!$Y$4,Sheet1!Q177&lt;Sheet2!$Z$4),Sheet2!$W$4,Sheet2!$W$5)),Sheet2!$W$6)),Sheet2!$W$7)),"超出《标准包裹》尺寸"))</f>
        <v>标准包裹</v>
      </c>
      <c r="T177" s="69">
        <f t="shared" si="48"/>
        <v>6.73068333333333</v>
      </c>
      <c r="Y177" s="76"/>
    </row>
    <row r="178" ht="15" customHeight="1" spans="1:25">
      <c r="A178" s="46"/>
      <c r="B178" s="47"/>
      <c r="C178" s="45" t="s">
        <v>35</v>
      </c>
      <c r="D178" s="39">
        <f>IF(S178=Sheet2!$W$4,INDEX(Sheet2!$J$5:$Q$5,1,MATCH(Sheet1!C178,Sheet2!$J$3:$Q$3,0)),IF(S178=Sheet2!$W$5,INDEX(Sheet2!$J$6:$Q$8,MATCH(Sheet1!R178,Sheet2!$H$6:$H$8,1),MATCH(Sheet1!C178,Sheet2!$J$3:$Q$3,0)),IF(S178=Sheet2!$W$6,INDEX(Sheet2!$J$9:$Q$9,1,MATCH(Sheet1!C178,Sheet2!$J$3:$Q$3,0)),IF(S178=Sheet2!$W$7,INDEX(Sheet2!$J$10:$Q$24,MATCH(Sheet1!R178,Sheet2!$H$10:$H$24,1),MATCH(Sheet1!C178,Sheet2!$J$3:$Q$3,0)),"ERR COUNTRY!"))))</f>
        <v>3.16</v>
      </c>
      <c r="E178" s="52">
        <f t="shared" si="39"/>
        <v>2.0985</v>
      </c>
      <c r="F178" s="53" t="s">
        <v>30</v>
      </c>
      <c r="G178" s="52">
        <f t="shared" si="47"/>
        <v>2.33166666666667</v>
      </c>
      <c r="H178" s="52">
        <f t="shared" si="40"/>
        <v>3.60183333333333</v>
      </c>
      <c r="I178" s="52" t="s">
        <v>30</v>
      </c>
      <c r="J178" s="52">
        <f>IF(OR(C178=Sheet2!$A$10),0,L178*0.2)</f>
        <v>2.798</v>
      </c>
      <c r="K178" s="52">
        <f t="shared" si="41"/>
        <v>6.39983333333333</v>
      </c>
      <c r="L178" s="58">
        <v>13.99</v>
      </c>
      <c r="M178" s="52">
        <f>R178*$B$1</f>
        <v>7.6</v>
      </c>
      <c r="N178" s="24">
        <v>8</v>
      </c>
      <c r="O178" s="24">
        <v>24</v>
      </c>
      <c r="P178" s="24">
        <v>22</v>
      </c>
      <c r="Q178" s="24">
        <v>5</v>
      </c>
      <c r="R178" s="24">
        <v>200</v>
      </c>
      <c r="S178" s="26" t="str">
        <f>IF(Sheet1!R178+Sheet2!$AB$7&gt;=Sheet2!$AA$7,"超出《标准包裹》重量",IF(AND(Sheet1!O178&lt;Sheet2!$X$7,Sheet1!P178&lt;Sheet2!$Y$7,Sheet1!Q178&lt;Sheet2!$Z$7),IF(Sheet1!R178+Sheet2!$AB$6&gt;=Sheet2!$AA$6,Sheet2!$W$7,IF(AND(Sheet1!O178&lt;Sheet2!$X$6,Sheet1!P178&lt;Sheet2!$Y$6,Sheet1!Q178&lt;Sheet2!$Z$6),IF(Sheet1!R178+Sheet2!$AB$5&gt;=Sheet2!$AA$5,Sheet2!$W$6,IF(AND(Sheet1!O178&lt;Sheet2!$X$5,Sheet1!P178&lt;Sheet2!$Y$5,Sheet1!Q178&lt;Sheet2!$Z$5),IF(Sheet1!R178+Sheet2!$AB$4&gt;=Sheet2!$AA$4,Sheet2!$W$5,IF(AND(Sheet1!O178&lt;Sheet2!$X$4,Sheet1!P178&lt;Sheet2!$Y$4,Sheet1!Q178&lt;Sheet2!$Z$4),Sheet2!$W$4,Sheet2!$W$5)),Sheet2!$W$6)),Sheet2!$W$7)),"超出《标准包裹》尺寸"))</f>
        <v>标准包裹</v>
      </c>
      <c r="T178" s="69">
        <f t="shared" si="48"/>
        <v>9.97301666666667</v>
      </c>
      <c r="Y178" s="76"/>
    </row>
    <row r="179" ht="15" customHeight="1" spans="1:25">
      <c r="A179" s="46"/>
      <c r="B179" s="47"/>
      <c r="C179" s="45" t="s">
        <v>36</v>
      </c>
      <c r="D179" s="39">
        <f>IF(S179=Sheet2!$W$4,INDEX(Sheet2!$J$5:$Q$5,1,MATCH(Sheet1!C179,Sheet2!$J$3:$Q$3,0)),IF(S179=Sheet2!$W$5,INDEX(Sheet2!$J$6:$Q$8,MATCH(Sheet1!R179,Sheet2!$H$6:$H$8,1),MATCH(Sheet1!C179,Sheet2!$J$3:$Q$3,0)),IF(S179=Sheet2!$W$6,INDEX(Sheet2!$J$9:$Q$9,1,MATCH(Sheet1!C179,Sheet2!$J$3:$Q$3,0)),IF(S179=Sheet2!$W$7,INDEX(Sheet2!$J$10:$Q$24,MATCH(Sheet1!R179,Sheet2!$H$10:$H$24,1),MATCH(Sheet1!C179,Sheet2!$J$3:$Q$3,0)),"ERR COUNTRY!"))))</f>
        <v>42.91</v>
      </c>
      <c r="E179" s="52">
        <f t="shared" si="39"/>
        <v>21.3</v>
      </c>
      <c r="F179" s="53" t="s">
        <v>30</v>
      </c>
      <c r="G179" s="52">
        <f t="shared" si="47"/>
        <v>23.6666666666667</v>
      </c>
      <c r="H179" s="52">
        <f t="shared" si="40"/>
        <v>25.7233333333333</v>
      </c>
      <c r="I179" s="52" t="s">
        <v>30</v>
      </c>
      <c r="J179" s="52">
        <f>IF(OR(C179=Sheet2!$A$10),0,L179*0.2)</f>
        <v>28.4</v>
      </c>
      <c r="K179" s="52">
        <f t="shared" si="41"/>
        <v>54.1233333333333</v>
      </c>
      <c r="L179" s="58">
        <v>142</v>
      </c>
      <c r="M179" s="52">
        <f>R179*$B$1</f>
        <v>7.6</v>
      </c>
      <c r="N179" s="24">
        <v>8</v>
      </c>
      <c r="O179" s="24">
        <v>24</v>
      </c>
      <c r="P179" s="24">
        <v>22</v>
      </c>
      <c r="Q179" s="24">
        <v>5</v>
      </c>
      <c r="R179" s="24">
        <v>200</v>
      </c>
      <c r="S179" s="26" t="str">
        <f>IF(Sheet1!R179+Sheet2!$AB$7&gt;=Sheet2!$AA$7,"超出《标准包裹》重量",IF(AND(Sheet1!O179&lt;Sheet2!$X$7,Sheet1!P179&lt;Sheet2!$Y$7,Sheet1!Q179&lt;Sheet2!$Z$7),IF(Sheet1!R179+Sheet2!$AB$6&gt;=Sheet2!$AA$6,Sheet2!$W$7,IF(AND(Sheet1!O179&lt;Sheet2!$X$6,Sheet1!P179&lt;Sheet2!$Y$6,Sheet1!Q179&lt;Sheet2!$Z$6),IF(Sheet1!R179+Sheet2!$AB$5&gt;=Sheet2!$AA$5,Sheet2!$W$6,IF(AND(Sheet1!O179&lt;Sheet2!$X$5,Sheet1!P179&lt;Sheet2!$Y$5,Sheet1!Q179&lt;Sheet2!$Z$5),IF(Sheet1!R179+Sheet2!$AB$4&gt;=Sheet2!$AA$4,Sheet2!$W$5,IF(AND(Sheet1!O179&lt;Sheet2!$X$4,Sheet1!P179&lt;Sheet2!$Y$4,Sheet1!Q179&lt;Sheet2!$Z$4),Sheet2!$W$4,Sheet2!$W$5)),Sheet2!$W$6)),Sheet2!$W$7)),"超出《标准包裹》尺寸"))</f>
        <v>标准包裹</v>
      </c>
      <c r="T179" s="69">
        <f>H179*0.63-N179-M179</f>
        <v>0.605700000000008</v>
      </c>
      <c r="Y179" s="76"/>
    </row>
    <row r="180" ht="15" customHeight="1" spans="1:25">
      <c r="A180" s="46"/>
      <c r="B180" s="47"/>
      <c r="C180" s="45" t="s">
        <v>37</v>
      </c>
      <c r="D180" s="39">
        <f>IF(S180=Sheet2!$W$4,INDEX(Sheet2!$J$5:$Q$5,1,MATCH(Sheet1!C180,Sheet2!$J$3:$Q$3,0)),IF(S180=Sheet2!$W$5,INDEX(Sheet2!$J$6:$Q$8,MATCH(Sheet1!R180,Sheet2!$H$6:$H$8,1),MATCH(Sheet1!C180,Sheet2!$J$3:$Q$3,0)),IF(S180=Sheet2!$W$6,INDEX(Sheet2!$J$9:$Q$9,1,MATCH(Sheet1!C180,Sheet2!$J$3:$Q$3,0)),IF(S180=Sheet2!$W$7,INDEX(Sheet2!$J$10:$Q$24,MATCH(Sheet1!R180,Sheet2!$H$10:$H$24,1),MATCH(Sheet1!C180,Sheet2!$J$3:$Q$3,0)),"ERR COUNTRY!"))))</f>
        <v>5.66</v>
      </c>
      <c r="E180" s="52">
        <f t="shared" si="39"/>
        <v>7.2</v>
      </c>
      <c r="F180" s="53" t="s">
        <v>30</v>
      </c>
      <c r="G180" s="52">
        <f t="shared" si="47"/>
        <v>8</v>
      </c>
      <c r="H180" s="52">
        <f t="shared" si="40"/>
        <v>17.54</v>
      </c>
      <c r="I180" s="52" t="s">
        <v>30</v>
      </c>
      <c r="J180" s="52">
        <f>IF(OR(C180=Sheet2!$A$10),0,L180*0.2)</f>
        <v>9.6</v>
      </c>
      <c r="K180" s="52">
        <f t="shared" si="41"/>
        <v>27.14</v>
      </c>
      <c r="L180" s="58">
        <v>48</v>
      </c>
      <c r="M180" s="52">
        <f>R180*$B$1</f>
        <v>7.6</v>
      </c>
      <c r="N180" s="24">
        <v>8</v>
      </c>
      <c r="O180" s="24">
        <v>24</v>
      </c>
      <c r="P180" s="24">
        <v>22</v>
      </c>
      <c r="Q180" s="24">
        <v>5</v>
      </c>
      <c r="R180" s="24">
        <v>200</v>
      </c>
      <c r="S180" s="26" t="str">
        <f>IF(Sheet1!R180+Sheet2!$AB$7&gt;=Sheet2!$AA$7,"超出《标准包裹》重量",IF(AND(Sheet1!O180&lt;Sheet2!$X$7,Sheet1!P180&lt;Sheet2!$Y$7,Sheet1!Q180&lt;Sheet2!$Z$7),IF(Sheet1!R180+Sheet2!$AB$6&gt;=Sheet2!$AA$6,Sheet2!$W$7,IF(AND(Sheet1!O180&lt;Sheet2!$X$6,Sheet1!P180&lt;Sheet2!$Y$6,Sheet1!Q180&lt;Sheet2!$Z$6),IF(Sheet1!R180+Sheet2!$AB$5&gt;=Sheet2!$AA$5,Sheet2!$W$6,IF(AND(Sheet1!O180&lt;Sheet2!$X$5,Sheet1!P180&lt;Sheet2!$Y$5,Sheet1!Q180&lt;Sheet2!$Z$5),IF(Sheet1!R180+Sheet2!$AB$4&gt;=Sheet2!$AA$4,Sheet2!$W$5,IF(AND(Sheet1!O180&lt;Sheet2!$X$4,Sheet1!P180&lt;Sheet2!$Y$4,Sheet1!Q180&lt;Sheet2!$Z$4),Sheet2!$W$4,Sheet2!$W$5)),Sheet2!$W$6)),Sheet2!$W$7)),"超出《标准包裹》尺寸"))</f>
        <v>标准包裹</v>
      </c>
      <c r="T180" s="69">
        <f>H180*1.38-N180-M180</f>
        <v>8.6052</v>
      </c>
      <c r="Y180" s="76"/>
    </row>
    <row r="181" spans="1:25">
      <c r="A181" s="46"/>
      <c r="B181" s="47"/>
      <c r="C181" s="45"/>
      <c r="D181" s="39">
        <v>0</v>
      </c>
      <c r="E181" s="52">
        <f t="shared" si="39"/>
        <v>9</v>
      </c>
      <c r="F181" s="53" t="s">
        <v>39</v>
      </c>
      <c r="G181" s="52">
        <v>0</v>
      </c>
      <c r="H181" s="52">
        <f t="shared" si="40"/>
        <v>51</v>
      </c>
      <c r="I181" s="52" t="s">
        <v>30</v>
      </c>
      <c r="J181" s="52">
        <f>IF(OR(C181=Sheet2!$A$10),0,L181*0.2)</f>
        <v>0</v>
      </c>
      <c r="K181" s="52">
        <f t="shared" si="41"/>
        <v>51</v>
      </c>
      <c r="L181" s="59">
        <v>60</v>
      </c>
      <c r="M181" s="52">
        <f>R181*$B$1</f>
        <v>7.6</v>
      </c>
      <c r="N181" s="24">
        <v>8</v>
      </c>
      <c r="O181" s="64"/>
      <c r="P181" s="64"/>
      <c r="Q181" s="64"/>
      <c r="R181" s="24">
        <v>200</v>
      </c>
      <c r="S181" s="70"/>
      <c r="T181" s="69">
        <f>H181*0.44-N181-M181</f>
        <v>6.84</v>
      </c>
      <c r="Y181" s="76"/>
    </row>
    <row r="182" ht="15" customHeight="1" spans="1:25">
      <c r="A182" s="77"/>
      <c r="B182" s="44"/>
      <c r="C182" s="45" t="s">
        <v>29</v>
      </c>
      <c r="D182" s="39">
        <f>IF(S182=Sheet2!$W$4,INDEX(Sheet2!$J$5:$Q$5,1,MATCH(Sheet1!C182,Sheet2!$J$3:$Q$3,0)),IF(S182=Sheet2!$W$5,INDEX(Sheet2!$J$6:$Q$8,MATCH(Sheet1!R182,Sheet2!$H$6:$H$8,1),MATCH(Sheet1!C182,Sheet2!$J$3:$Q$3,0)),IF(S182=Sheet2!$W$6,INDEX(Sheet2!$J$9:$Q$9,1,MATCH(Sheet1!C182,Sheet2!$J$3:$Q$3,0)),IF(S182=Sheet2!$W$7,INDEX(Sheet2!$J$10:$Q$24,MATCH(Sheet1!R182,Sheet2!$H$10:$H$24,1),MATCH(Sheet1!C182,Sheet2!$J$3:$Q$3,0)),"ERR COUNTRY!"))))</f>
        <v>2.77</v>
      </c>
      <c r="E182" s="52">
        <f t="shared" si="39"/>
        <v>1.7985</v>
      </c>
      <c r="F182" s="53" t="s">
        <v>30</v>
      </c>
      <c r="G182" s="52">
        <f t="shared" ref="G182:G189" si="49">L182-L182/(1+20%)</f>
        <v>1.99833333333333</v>
      </c>
      <c r="H182" s="52">
        <f t="shared" si="40"/>
        <v>3.02516666666667</v>
      </c>
      <c r="I182" s="52" t="s">
        <v>30</v>
      </c>
      <c r="J182" s="52">
        <f>IF(OR(C182=Sheet2!$A$10),0,L182*0.2)</f>
        <v>2.398</v>
      </c>
      <c r="K182" s="52">
        <f t="shared" si="41"/>
        <v>5.42316666666667</v>
      </c>
      <c r="L182" s="58">
        <v>11.99</v>
      </c>
      <c r="M182" s="52">
        <f>R182*$B$1</f>
        <v>7.6</v>
      </c>
      <c r="N182" s="24">
        <v>8</v>
      </c>
      <c r="O182" s="24">
        <v>24</v>
      </c>
      <c r="P182" s="24">
        <v>22</v>
      </c>
      <c r="Q182" s="24">
        <v>5</v>
      </c>
      <c r="R182" s="24">
        <v>200</v>
      </c>
      <c r="S182" s="26" t="str">
        <f>IF(Sheet1!R182+Sheet2!$AB$7&gt;=Sheet2!$AA$7,"超出《标准包裹》重量",IF(AND(Sheet1!O182&lt;Sheet2!$X$7,Sheet1!P182&lt;Sheet2!$Y$7,Sheet1!Q182&lt;Sheet2!$Z$7),IF(Sheet1!R182+Sheet2!$AB$6&gt;=Sheet2!$AA$6,Sheet2!$W$7,IF(AND(Sheet1!O182&lt;Sheet2!$X$6,Sheet1!P182&lt;Sheet2!$Y$6,Sheet1!Q182&lt;Sheet2!$Z$6),IF(Sheet1!R182+Sheet2!$AB$5&gt;=Sheet2!$AA$5,Sheet2!$W$6,IF(AND(Sheet1!O182&lt;Sheet2!$X$5,Sheet1!P182&lt;Sheet2!$Y$5,Sheet1!Q182&lt;Sheet2!$Z$5),IF(Sheet1!R182+Sheet2!$AB$4&gt;=Sheet2!$AA$4,Sheet2!$W$5,IF(AND(Sheet1!O182&lt;Sheet2!$X$4,Sheet1!P182&lt;Sheet2!$Y$4,Sheet1!Q182&lt;Sheet2!$Z$4),Sheet2!$W$4,Sheet2!$W$5)),Sheet2!$W$6)),Sheet2!$W$7)),"超出《标准包裹》尺寸"))</f>
        <v>标准包裹</v>
      </c>
      <c r="T182" s="69">
        <f>H182*8.3-N182-M182</f>
        <v>9.50888333333334</v>
      </c>
      <c r="W182" s="74"/>
      <c r="X182" s="74"/>
      <c r="Y182" s="76"/>
    </row>
    <row r="183" ht="15" customHeight="1" spans="1:25">
      <c r="A183" s="46"/>
      <c r="B183" s="47"/>
      <c r="C183" s="45" t="s">
        <v>31</v>
      </c>
      <c r="D183" s="39">
        <f>IF(S183=Sheet2!$W$4,INDEX(Sheet2!$J$5:$Q$5,1,MATCH(Sheet1!C183,Sheet2!$J$3:$Q$3,0)),IF(S183=Sheet2!$W$5,INDEX(Sheet2!$J$6:$Q$8,MATCH(Sheet1!R183,Sheet2!$H$6:$H$8,1),MATCH(Sheet1!C183,Sheet2!$J$3:$Q$3,0)),IF(S183=Sheet2!$W$6,INDEX(Sheet2!$J$9:$Q$9,1,MATCH(Sheet1!C183,Sheet2!$J$3:$Q$3,0)),IF(S183=Sheet2!$W$7,INDEX(Sheet2!$J$10:$Q$24,MATCH(Sheet1!R183,Sheet2!$H$10:$H$24,1),MATCH(Sheet1!C183,Sheet2!$J$3:$Q$3,0)),"ERR COUNTRY!"))))</f>
        <v>3.21</v>
      </c>
      <c r="E183" s="52">
        <f t="shared" si="39"/>
        <v>2.3985</v>
      </c>
      <c r="F183" s="53" t="s">
        <v>30</v>
      </c>
      <c r="G183" s="52">
        <f t="shared" si="49"/>
        <v>2.665</v>
      </c>
      <c r="H183" s="52">
        <f t="shared" si="40"/>
        <v>4.5185</v>
      </c>
      <c r="I183" s="52" t="s">
        <v>30</v>
      </c>
      <c r="J183" s="52">
        <f>IF(OR(C183=Sheet2!$A$10),0,L183*0.2)</f>
        <v>3.198</v>
      </c>
      <c r="K183" s="52">
        <f t="shared" si="41"/>
        <v>7.7165</v>
      </c>
      <c r="L183" s="58">
        <v>15.99</v>
      </c>
      <c r="M183" s="52">
        <f>R183*$B$1</f>
        <v>7.6</v>
      </c>
      <c r="N183" s="24">
        <v>15</v>
      </c>
      <c r="O183" s="24"/>
      <c r="P183" s="24">
        <v>12</v>
      </c>
      <c r="Q183" s="24">
        <v>4</v>
      </c>
      <c r="R183" s="24">
        <v>200</v>
      </c>
      <c r="S183" s="26" t="str">
        <f>IF(Sheet1!R183+Sheet2!$AB$7&gt;=Sheet2!$AA$7,"超出《标准包裹》重量",IF(AND(Sheet1!O183&lt;Sheet2!$X$7,Sheet1!P183&lt;Sheet2!$Y$7,Sheet1!Q183&lt;Sheet2!$Z$7),IF(Sheet1!R183+Sheet2!$AB$6&gt;=Sheet2!$AA$6,Sheet2!$W$7,IF(AND(Sheet1!O183&lt;Sheet2!$X$6,Sheet1!P183&lt;Sheet2!$Y$6,Sheet1!Q183&lt;Sheet2!$Z$6),IF(Sheet1!R183+Sheet2!$AB$5&gt;=Sheet2!$AA$5,Sheet2!$W$6,IF(AND(Sheet1!O183&lt;Sheet2!$X$5,Sheet1!P183&lt;Sheet2!$Y$5,Sheet1!Q183&lt;Sheet2!$Z$5),IF(Sheet1!R183+Sheet2!$AB$4&gt;=Sheet2!$AA$4,Sheet2!$W$5,IF(AND(Sheet1!O183&lt;Sheet2!$X$4,Sheet1!P183&lt;Sheet2!$Y$4,Sheet1!Q183&lt;Sheet2!$Z$4),Sheet2!$W$4,Sheet2!$W$5)),Sheet2!$W$6)),Sheet2!$W$7)),"超出《标准包裹》尺寸"))</f>
        <v>大号信封</v>
      </c>
      <c r="T183" s="69">
        <f t="shared" ref="T183:T187" si="50">H183*7.1-N183-M183</f>
        <v>9.48135000000001</v>
      </c>
      <c r="X183" s="74"/>
      <c r="Y183" s="76"/>
    </row>
    <row r="184" ht="15" customHeight="1" spans="1:25">
      <c r="A184" s="46"/>
      <c r="B184" s="47"/>
      <c r="C184" s="45" t="s">
        <v>32</v>
      </c>
      <c r="D184" s="39">
        <f>IF(S184=Sheet2!$W$4,INDEX(Sheet2!$J$5:$Q$5,1,MATCH(Sheet1!C184,Sheet2!$J$3:$Q$3,0)),IF(S184=Sheet2!$W$5,INDEX(Sheet2!$J$6:$Q$8,MATCH(Sheet1!R184,Sheet2!$H$6:$H$8,1),MATCH(Sheet1!C184,Sheet2!$J$3:$Q$3,0)),IF(S184=Sheet2!$W$6,INDEX(Sheet2!$J$9:$Q$9,1,MATCH(Sheet1!C184,Sheet2!$J$3:$Q$3,0)),IF(S184=Sheet2!$W$7,INDEX(Sheet2!$J$10:$Q$24,MATCH(Sheet1!R184,Sheet2!$H$10:$H$24,1),MATCH(Sheet1!C184,Sheet2!$J$3:$Q$3,0)),"ERR COUNTRY!"))))</f>
        <v>3.13</v>
      </c>
      <c r="E184" s="52">
        <f t="shared" si="39"/>
        <v>1.3485</v>
      </c>
      <c r="F184" s="53" t="s">
        <v>30</v>
      </c>
      <c r="G184" s="52">
        <f t="shared" si="49"/>
        <v>1.49833333333333</v>
      </c>
      <c r="H184" s="52">
        <f t="shared" si="40"/>
        <v>1.21516666666667</v>
      </c>
      <c r="I184" s="52" t="s">
        <v>30</v>
      </c>
      <c r="J184" s="52">
        <f>IF(OR(C184=Sheet2!$A$10),0,L184*0.2)</f>
        <v>1.798</v>
      </c>
      <c r="K184" s="52">
        <f t="shared" si="41"/>
        <v>3.01316666666667</v>
      </c>
      <c r="L184" s="58">
        <v>8.99</v>
      </c>
      <c r="M184" s="52">
        <f>R184*$B$1</f>
        <v>7.6</v>
      </c>
      <c r="N184" s="24">
        <v>1</v>
      </c>
      <c r="O184" s="24">
        <v>9.8</v>
      </c>
      <c r="P184" s="24">
        <v>9.3</v>
      </c>
      <c r="Q184" s="24">
        <v>1</v>
      </c>
      <c r="R184" s="24">
        <v>200</v>
      </c>
      <c r="S184" s="26" t="str">
        <f>IF(Sheet1!R184+Sheet2!$AB$7&gt;=Sheet2!$AA$7,"超出《标准包裹》重量",IF(AND(Sheet1!O184&lt;Sheet2!$X$7,Sheet1!P184&lt;Sheet2!$Y$7,Sheet1!Q184&lt;Sheet2!$Z$7),IF(Sheet1!R184+Sheet2!$AB$6&gt;=Sheet2!$AA$6,Sheet2!$W$7,IF(AND(Sheet1!O184&lt;Sheet2!$X$6,Sheet1!P184&lt;Sheet2!$Y$6,Sheet1!Q184&lt;Sheet2!$Z$6),IF(Sheet1!R184+Sheet2!$AB$5&gt;=Sheet2!$AA$5,Sheet2!$W$6,IF(AND(Sheet1!O184&lt;Sheet2!$X$5,Sheet1!P184&lt;Sheet2!$Y$5,Sheet1!Q184&lt;Sheet2!$Z$5),IF(Sheet1!R184+Sheet2!$AB$4&gt;=Sheet2!$AA$4,Sheet2!$W$5,IF(AND(Sheet1!O184&lt;Sheet2!$X$4,Sheet1!P184&lt;Sheet2!$Y$4,Sheet1!Q184&lt;Sheet2!$Z$4),Sheet2!$W$4,Sheet2!$W$5)),Sheet2!$W$6)),Sheet2!$W$7)),"超出《标准包裹》尺寸"))</f>
        <v>标准信封</v>
      </c>
      <c r="T184" s="69">
        <f t="shared" si="50"/>
        <v>0.0276833333333339</v>
      </c>
      <c r="Y184" s="76"/>
    </row>
    <row r="185" ht="15" customHeight="1" spans="1:25">
      <c r="A185" s="46"/>
      <c r="B185" s="47"/>
      <c r="C185" s="45" t="s">
        <v>33</v>
      </c>
      <c r="D185" s="39">
        <f>IF(S185=Sheet2!$W$4,INDEX(Sheet2!$J$5:$Q$5,1,MATCH(Sheet1!C185,Sheet2!$J$3:$Q$3,0)),IF(S185=Sheet2!$W$5,INDEX(Sheet2!$J$6:$Q$8,MATCH(Sheet1!R185,Sheet2!$H$6:$H$8,1),MATCH(Sheet1!C185,Sheet2!$J$3:$Q$3,0)),IF(S185=Sheet2!$W$6,INDEX(Sheet2!$J$9:$Q$9,1,MATCH(Sheet1!C185,Sheet2!$J$3:$Q$3,0)),IF(S185=Sheet2!$W$7,INDEX(Sheet2!$J$10:$Q$24,MATCH(Sheet1!R185,Sheet2!$H$10:$H$24,1),MATCH(Sheet1!C185,Sheet2!$J$3:$Q$3,0)),"ERR COUNTRY!"))))</f>
        <v>4.82</v>
      </c>
      <c r="E185" s="52">
        <f t="shared" si="39"/>
        <v>2.3985</v>
      </c>
      <c r="F185" s="53" t="s">
        <v>30</v>
      </c>
      <c r="G185" s="52">
        <f t="shared" si="49"/>
        <v>2.665</v>
      </c>
      <c r="H185" s="52">
        <f t="shared" si="40"/>
        <v>2.9085</v>
      </c>
      <c r="I185" s="52" t="s">
        <v>30</v>
      </c>
      <c r="J185" s="52">
        <f>IF(OR(C185=Sheet2!$A$10),0,L185*0.2)</f>
        <v>3.198</v>
      </c>
      <c r="K185" s="52">
        <f t="shared" si="41"/>
        <v>6.1065</v>
      </c>
      <c r="L185" s="58">
        <v>15.99</v>
      </c>
      <c r="M185" s="52">
        <f>R185*$B$1</f>
        <v>7.6</v>
      </c>
      <c r="N185" s="24">
        <v>8</v>
      </c>
      <c r="O185" s="24">
        <v>24</v>
      </c>
      <c r="P185" s="24">
        <v>22</v>
      </c>
      <c r="Q185" s="24">
        <v>5</v>
      </c>
      <c r="R185" s="24">
        <v>200</v>
      </c>
      <c r="S185" s="26" t="str">
        <f>IF(Sheet1!R185+Sheet2!$AB$7&gt;=Sheet2!$AA$7,"超出《标准包裹》重量",IF(AND(Sheet1!O185&lt;Sheet2!$X$7,Sheet1!P185&lt;Sheet2!$Y$7,Sheet1!Q185&lt;Sheet2!$Z$7),IF(Sheet1!R185+Sheet2!$AB$6&gt;=Sheet2!$AA$6,Sheet2!$W$7,IF(AND(Sheet1!O185&lt;Sheet2!$X$6,Sheet1!P185&lt;Sheet2!$Y$6,Sheet1!Q185&lt;Sheet2!$Z$6),IF(Sheet1!R185+Sheet2!$AB$5&gt;=Sheet2!$AA$5,Sheet2!$W$6,IF(AND(Sheet1!O185&lt;Sheet2!$X$5,Sheet1!P185&lt;Sheet2!$Y$5,Sheet1!Q185&lt;Sheet2!$Z$5),IF(Sheet1!R185+Sheet2!$AB$4&gt;=Sheet2!$AA$4,Sheet2!$W$5,IF(AND(Sheet1!O185&lt;Sheet2!$X$4,Sheet1!P185&lt;Sheet2!$Y$4,Sheet1!Q185&lt;Sheet2!$Z$4),Sheet2!$W$4,Sheet2!$W$5)),Sheet2!$W$6)),Sheet2!$W$7)),"超出《标准包裹》尺寸"))</f>
        <v>标准包裹</v>
      </c>
      <c r="T185" s="69">
        <f t="shared" si="50"/>
        <v>5.05035</v>
      </c>
      <c r="W185" s="75"/>
      <c r="X185" s="75"/>
      <c r="Y185" s="76"/>
    </row>
    <row r="186" ht="15" customHeight="1" spans="1:25">
      <c r="A186" s="46"/>
      <c r="B186" s="47"/>
      <c r="C186" s="45" t="s">
        <v>34</v>
      </c>
      <c r="D186" s="39">
        <f>IF(S186=Sheet2!$W$4,INDEX(Sheet2!$J$5:$Q$5,1,MATCH(Sheet1!C186,Sheet2!$J$3:$Q$3,0)),IF(S186=Sheet2!$W$5,INDEX(Sheet2!$J$6:$Q$8,MATCH(Sheet1!R186,Sheet2!$H$6:$H$8,1),MATCH(Sheet1!C186,Sheet2!$J$3:$Q$3,0)),IF(S186=Sheet2!$W$6,INDEX(Sheet2!$J$9:$Q$9,1,MATCH(Sheet1!C186,Sheet2!$J$3:$Q$3,0)),IF(S186=Sheet2!$W$7,INDEX(Sheet2!$J$10:$Q$24,MATCH(Sheet1!R186,Sheet2!$H$10:$H$24,1),MATCH(Sheet1!C186,Sheet2!$J$3:$Q$3,0)),"ERR COUNTRY!"))))</f>
        <v>4.1</v>
      </c>
      <c r="E186" s="52">
        <f t="shared" si="39"/>
        <v>2.2485</v>
      </c>
      <c r="F186" s="53" t="s">
        <v>30</v>
      </c>
      <c r="G186" s="52">
        <f t="shared" si="49"/>
        <v>2.49833333333333</v>
      </c>
      <c r="H186" s="52">
        <f t="shared" si="40"/>
        <v>3.14516666666667</v>
      </c>
      <c r="I186" s="52" t="s">
        <v>30</v>
      </c>
      <c r="J186" s="52">
        <f>IF(OR(C186=Sheet2!$A$10),0,L186*0.2)</f>
        <v>2.998</v>
      </c>
      <c r="K186" s="52">
        <f t="shared" si="41"/>
        <v>6.14316666666667</v>
      </c>
      <c r="L186" s="58">
        <v>14.99</v>
      </c>
      <c r="M186" s="52">
        <f>R186*$B$1</f>
        <v>7.6</v>
      </c>
      <c r="N186" s="24">
        <v>8</v>
      </c>
      <c r="O186" s="24">
        <v>24</v>
      </c>
      <c r="P186" s="24">
        <v>22</v>
      </c>
      <c r="Q186" s="24">
        <v>5</v>
      </c>
      <c r="R186" s="24">
        <v>200</v>
      </c>
      <c r="S186" s="26" t="str">
        <f>IF(Sheet1!R186+Sheet2!$AB$7&gt;=Sheet2!$AA$7,"超出《标准包裹》重量",IF(AND(Sheet1!O186&lt;Sheet2!$X$7,Sheet1!P186&lt;Sheet2!$Y$7,Sheet1!Q186&lt;Sheet2!$Z$7),IF(Sheet1!R186+Sheet2!$AB$6&gt;=Sheet2!$AA$6,Sheet2!$W$7,IF(AND(Sheet1!O186&lt;Sheet2!$X$6,Sheet1!P186&lt;Sheet2!$Y$6,Sheet1!Q186&lt;Sheet2!$Z$6),IF(Sheet1!R186+Sheet2!$AB$5&gt;=Sheet2!$AA$5,Sheet2!$W$6,IF(AND(Sheet1!O186&lt;Sheet2!$X$5,Sheet1!P186&lt;Sheet2!$Y$5,Sheet1!Q186&lt;Sheet2!$Z$5),IF(Sheet1!R186+Sheet2!$AB$4&gt;=Sheet2!$AA$4,Sheet2!$W$5,IF(AND(Sheet1!O186&lt;Sheet2!$X$4,Sheet1!P186&lt;Sheet2!$Y$4,Sheet1!Q186&lt;Sheet2!$Z$4),Sheet2!$W$4,Sheet2!$W$5)),Sheet2!$W$6)),Sheet2!$W$7)),"超出《标准包裹》尺寸"))</f>
        <v>标准包裹</v>
      </c>
      <c r="T186" s="69">
        <f t="shared" si="50"/>
        <v>6.73068333333333</v>
      </c>
      <c r="Y186" s="76"/>
    </row>
    <row r="187" ht="15" customHeight="1" spans="1:25">
      <c r="A187" s="46"/>
      <c r="B187" s="47"/>
      <c r="C187" s="45" t="s">
        <v>35</v>
      </c>
      <c r="D187" s="39">
        <f>IF(S187=Sheet2!$W$4,INDEX(Sheet2!$J$5:$Q$5,1,MATCH(Sheet1!C187,Sheet2!$J$3:$Q$3,0)),IF(S187=Sheet2!$W$5,INDEX(Sheet2!$J$6:$Q$8,MATCH(Sheet1!R187,Sheet2!$H$6:$H$8,1),MATCH(Sheet1!C187,Sheet2!$J$3:$Q$3,0)),IF(S187=Sheet2!$W$6,INDEX(Sheet2!$J$9:$Q$9,1,MATCH(Sheet1!C187,Sheet2!$J$3:$Q$3,0)),IF(S187=Sheet2!$W$7,INDEX(Sheet2!$J$10:$Q$24,MATCH(Sheet1!R187,Sheet2!$H$10:$H$24,1),MATCH(Sheet1!C187,Sheet2!$J$3:$Q$3,0)),"ERR COUNTRY!"))))</f>
        <v>3.16</v>
      </c>
      <c r="E187" s="52">
        <f t="shared" si="39"/>
        <v>2.0985</v>
      </c>
      <c r="F187" s="53" t="s">
        <v>30</v>
      </c>
      <c r="G187" s="52">
        <f t="shared" si="49"/>
        <v>2.33166666666667</v>
      </c>
      <c r="H187" s="52">
        <f t="shared" si="40"/>
        <v>3.60183333333333</v>
      </c>
      <c r="I187" s="52" t="s">
        <v>30</v>
      </c>
      <c r="J187" s="52">
        <f>IF(OR(C187=Sheet2!$A$10),0,L187*0.2)</f>
        <v>2.798</v>
      </c>
      <c r="K187" s="52">
        <f t="shared" si="41"/>
        <v>6.39983333333333</v>
      </c>
      <c r="L187" s="58">
        <v>13.99</v>
      </c>
      <c r="M187" s="52">
        <f>R187*$B$1</f>
        <v>7.6</v>
      </c>
      <c r="N187" s="24">
        <v>8</v>
      </c>
      <c r="O187" s="24">
        <v>24</v>
      </c>
      <c r="P187" s="24">
        <v>22</v>
      </c>
      <c r="Q187" s="24">
        <v>5</v>
      </c>
      <c r="R187" s="24">
        <v>200</v>
      </c>
      <c r="S187" s="26" t="str">
        <f>IF(Sheet1!R187+Sheet2!$AB$7&gt;=Sheet2!$AA$7,"超出《标准包裹》重量",IF(AND(Sheet1!O187&lt;Sheet2!$X$7,Sheet1!P187&lt;Sheet2!$Y$7,Sheet1!Q187&lt;Sheet2!$Z$7),IF(Sheet1!R187+Sheet2!$AB$6&gt;=Sheet2!$AA$6,Sheet2!$W$7,IF(AND(Sheet1!O187&lt;Sheet2!$X$6,Sheet1!P187&lt;Sheet2!$Y$6,Sheet1!Q187&lt;Sheet2!$Z$6),IF(Sheet1!R187+Sheet2!$AB$5&gt;=Sheet2!$AA$5,Sheet2!$W$6,IF(AND(Sheet1!O187&lt;Sheet2!$X$5,Sheet1!P187&lt;Sheet2!$Y$5,Sheet1!Q187&lt;Sheet2!$Z$5),IF(Sheet1!R187+Sheet2!$AB$4&gt;=Sheet2!$AA$4,Sheet2!$W$5,IF(AND(Sheet1!O187&lt;Sheet2!$X$4,Sheet1!P187&lt;Sheet2!$Y$4,Sheet1!Q187&lt;Sheet2!$Z$4),Sheet2!$W$4,Sheet2!$W$5)),Sheet2!$W$6)),Sheet2!$W$7)),"超出《标准包裹》尺寸"))</f>
        <v>标准包裹</v>
      </c>
      <c r="T187" s="69">
        <f t="shared" si="50"/>
        <v>9.97301666666667</v>
      </c>
      <c r="Y187" s="76"/>
    </row>
    <row r="188" ht="15" customHeight="1" spans="1:25">
      <c r="A188" s="46"/>
      <c r="B188" s="47"/>
      <c r="C188" s="45" t="s">
        <v>36</v>
      </c>
      <c r="D188" s="39">
        <f>IF(S188=Sheet2!$W$4,INDEX(Sheet2!$J$5:$Q$5,1,MATCH(Sheet1!C188,Sheet2!$J$3:$Q$3,0)),IF(S188=Sheet2!$W$5,INDEX(Sheet2!$J$6:$Q$8,MATCH(Sheet1!R188,Sheet2!$H$6:$H$8,1),MATCH(Sheet1!C188,Sheet2!$J$3:$Q$3,0)),IF(S188=Sheet2!$W$6,INDEX(Sheet2!$J$9:$Q$9,1,MATCH(Sheet1!C188,Sheet2!$J$3:$Q$3,0)),IF(S188=Sheet2!$W$7,INDEX(Sheet2!$J$10:$Q$24,MATCH(Sheet1!R188,Sheet2!$H$10:$H$24,1),MATCH(Sheet1!C188,Sheet2!$J$3:$Q$3,0)),"ERR COUNTRY!"))))</f>
        <v>42.91</v>
      </c>
      <c r="E188" s="52">
        <f t="shared" si="39"/>
        <v>21.3</v>
      </c>
      <c r="F188" s="53" t="s">
        <v>30</v>
      </c>
      <c r="G188" s="52">
        <f t="shared" si="49"/>
        <v>23.6666666666667</v>
      </c>
      <c r="H188" s="52">
        <f t="shared" si="40"/>
        <v>25.7233333333333</v>
      </c>
      <c r="I188" s="52" t="s">
        <v>30</v>
      </c>
      <c r="J188" s="52">
        <f>IF(OR(C188=Sheet2!$A$10),0,L188*0.2)</f>
        <v>28.4</v>
      </c>
      <c r="K188" s="52">
        <f t="shared" si="41"/>
        <v>54.1233333333333</v>
      </c>
      <c r="L188" s="58">
        <v>142</v>
      </c>
      <c r="M188" s="52">
        <f>R188*$B$1</f>
        <v>7.6</v>
      </c>
      <c r="N188" s="24">
        <v>8</v>
      </c>
      <c r="O188" s="24">
        <v>24</v>
      </c>
      <c r="P188" s="24">
        <v>22</v>
      </c>
      <c r="Q188" s="24">
        <v>5</v>
      </c>
      <c r="R188" s="24">
        <v>200</v>
      </c>
      <c r="S188" s="26" t="str">
        <f>IF(Sheet1!R188+Sheet2!$AB$7&gt;=Sheet2!$AA$7,"超出《标准包裹》重量",IF(AND(Sheet1!O188&lt;Sheet2!$X$7,Sheet1!P188&lt;Sheet2!$Y$7,Sheet1!Q188&lt;Sheet2!$Z$7),IF(Sheet1!R188+Sheet2!$AB$6&gt;=Sheet2!$AA$6,Sheet2!$W$7,IF(AND(Sheet1!O188&lt;Sheet2!$X$6,Sheet1!P188&lt;Sheet2!$Y$6,Sheet1!Q188&lt;Sheet2!$Z$6),IF(Sheet1!R188+Sheet2!$AB$5&gt;=Sheet2!$AA$5,Sheet2!$W$6,IF(AND(Sheet1!O188&lt;Sheet2!$X$5,Sheet1!P188&lt;Sheet2!$Y$5,Sheet1!Q188&lt;Sheet2!$Z$5),IF(Sheet1!R188+Sheet2!$AB$4&gt;=Sheet2!$AA$4,Sheet2!$W$5,IF(AND(Sheet1!O188&lt;Sheet2!$X$4,Sheet1!P188&lt;Sheet2!$Y$4,Sheet1!Q188&lt;Sheet2!$Z$4),Sheet2!$W$4,Sheet2!$W$5)),Sheet2!$W$6)),Sheet2!$W$7)),"超出《标准包裹》尺寸"))</f>
        <v>标准包裹</v>
      </c>
      <c r="T188" s="69">
        <f>H188*0.63-N188-M188</f>
        <v>0.605700000000008</v>
      </c>
      <c r="Y188" s="76"/>
    </row>
    <row r="189" ht="15" customHeight="1" spans="1:25">
      <c r="A189" s="46"/>
      <c r="B189" s="47"/>
      <c r="C189" s="45" t="s">
        <v>37</v>
      </c>
      <c r="D189" s="39">
        <f>IF(S189=Sheet2!$W$4,INDEX(Sheet2!$J$5:$Q$5,1,MATCH(Sheet1!C189,Sheet2!$J$3:$Q$3,0)),IF(S189=Sheet2!$W$5,INDEX(Sheet2!$J$6:$Q$8,MATCH(Sheet1!R189,Sheet2!$H$6:$H$8,1),MATCH(Sheet1!C189,Sheet2!$J$3:$Q$3,0)),IF(S189=Sheet2!$W$6,INDEX(Sheet2!$J$9:$Q$9,1,MATCH(Sheet1!C189,Sheet2!$J$3:$Q$3,0)),IF(S189=Sheet2!$W$7,INDEX(Sheet2!$J$10:$Q$24,MATCH(Sheet1!R189,Sheet2!$H$10:$H$24,1),MATCH(Sheet1!C189,Sheet2!$J$3:$Q$3,0)),"ERR COUNTRY!"))))</f>
        <v>5.66</v>
      </c>
      <c r="E189" s="52">
        <f t="shared" si="39"/>
        <v>7.2</v>
      </c>
      <c r="F189" s="53" t="s">
        <v>30</v>
      </c>
      <c r="G189" s="52">
        <f t="shared" si="49"/>
        <v>8</v>
      </c>
      <c r="H189" s="52">
        <f t="shared" si="40"/>
        <v>17.54</v>
      </c>
      <c r="I189" s="52" t="s">
        <v>30</v>
      </c>
      <c r="J189" s="52">
        <f>IF(OR(C189=Sheet2!$A$10),0,L189*0.2)</f>
        <v>9.6</v>
      </c>
      <c r="K189" s="52" t="e">
        <f>H189+S190J189</f>
        <v>#NAME?</v>
      </c>
      <c r="L189" s="58">
        <v>48</v>
      </c>
      <c r="M189" s="52">
        <f>R189*$B$1</f>
        <v>7.6</v>
      </c>
      <c r="N189" s="24">
        <v>8</v>
      </c>
      <c r="O189" s="24">
        <v>24</v>
      </c>
      <c r="P189" s="24">
        <v>22</v>
      </c>
      <c r="Q189" s="24">
        <v>5</v>
      </c>
      <c r="R189" s="24">
        <v>200</v>
      </c>
      <c r="S189" s="26" t="str">
        <f>IF(Sheet1!R189+Sheet2!$AB$7&gt;=Sheet2!$AA$7,"超出《标准包裹》重量",IF(AND(Sheet1!O189&lt;Sheet2!$X$7,Sheet1!P189&lt;Sheet2!$Y$7,Sheet1!Q189&lt;Sheet2!$Z$7),IF(Sheet1!R189+Sheet2!$AB$6&gt;=Sheet2!$AA$6,Sheet2!$W$7,IF(AND(Sheet1!O189&lt;Sheet2!$X$6,Sheet1!P189&lt;Sheet2!$Y$6,Sheet1!Q189&lt;Sheet2!$Z$6),IF(Sheet1!R189+Sheet2!$AB$5&gt;=Sheet2!$AA$5,Sheet2!$W$6,IF(AND(Sheet1!O189&lt;Sheet2!$X$5,Sheet1!P189&lt;Sheet2!$Y$5,Sheet1!Q189&lt;Sheet2!$Z$5),IF(Sheet1!R189+Sheet2!$AB$4&gt;=Sheet2!$AA$4,Sheet2!$W$5,IF(AND(Sheet1!O189&lt;Sheet2!$X$4,Sheet1!P189&lt;Sheet2!$Y$4,Sheet1!Q189&lt;Sheet2!$Z$4),Sheet2!$W$4,Sheet2!$W$5)),Sheet2!$W$6)),Sheet2!$W$7)),"超出《标准包裹》尺寸"))</f>
        <v>标准包裹</v>
      </c>
      <c r="T189" s="69">
        <f>H189*1.38-N189-M189</f>
        <v>8.6052</v>
      </c>
      <c r="Y189" s="76"/>
    </row>
    <row r="190" spans="1:25">
      <c r="A190" s="46"/>
      <c r="B190" s="47"/>
      <c r="C190" s="45"/>
      <c r="D190" s="39">
        <v>0</v>
      </c>
      <c r="E190" s="52">
        <f t="shared" si="39"/>
        <v>9</v>
      </c>
      <c r="F190" s="53" t="s">
        <v>39</v>
      </c>
      <c r="G190" s="52">
        <v>0</v>
      </c>
      <c r="H190" s="52">
        <f t="shared" si="40"/>
        <v>51</v>
      </c>
      <c r="I190" s="52" t="s">
        <v>30</v>
      </c>
      <c r="J190" s="52">
        <f>IF(OR(C190=Sheet2!$A$10),0,L190*0.2)</f>
        <v>0</v>
      </c>
      <c r="K190" s="52">
        <f t="shared" si="41"/>
        <v>51</v>
      </c>
      <c r="L190" s="59">
        <v>60</v>
      </c>
      <c r="M190" s="52">
        <f>R190*$B$1</f>
        <v>7.6</v>
      </c>
      <c r="N190" s="24">
        <v>8</v>
      </c>
      <c r="O190" s="64"/>
      <c r="P190" s="64"/>
      <c r="Q190" s="64"/>
      <c r="R190" s="24">
        <v>200</v>
      </c>
      <c r="S190" s="70"/>
      <c r="T190" s="69">
        <f>H190*0.44-N190-M190</f>
        <v>6.84</v>
      </c>
      <c r="Y190" s="76"/>
    </row>
    <row r="191" ht="15.75" customHeight="1" spans="1:25">
      <c r="A191" s="77"/>
      <c r="B191" s="44"/>
      <c r="C191" s="45" t="s">
        <v>29</v>
      </c>
      <c r="D191" s="39">
        <f>IF(S191=Sheet2!$W$4,INDEX(Sheet2!$J$5:$Q$5,1,MATCH(Sheet1!C191,Sheet2!$J$3:$Q$3,0)),IF(S191=Sheet2!$W$5,INDEX(Sheet2!$J$6:$Q$8,MATCH(Sheet1!R191,Sheet2!$H$6:$H$8,1),MATCH(Sheet1!C191,Sheet2!$J$3:$Q$3,0)),IF(S191=Sheet2!$W$6,INDEX(Sheet2!$J$9:$Q$9,1,MATCH(Sheet1!C191,Sheet2!$J$3:$Q$3,0)),IF(S191=Sheet2!$W$7,INDEX(Sheet2!$J$10:$Q$24,MATCH(Sheet1!R191,Sheet2!$H$10:$H$24,1),MATCH(Sheet1!C191,Sheet2!$J$3:$Q$3,0)),"ERR COUNTRY!"))))</f>
        <v>2.77</v>
      </c>
      <c r="E191" s="52">
        <f t="shared" si="39"/>
        <v>1.7985</v>
      </c>
      <c r="F191" s="53" t="s">
        <v>30</v>
      </c>
      <c r="G191" s="52">
        <f t="shared" ref="G191:G198" si="51">L191-L191/(1+20%)</f>
        <v>1.99833333333333</v>
      </c>
      <c r="H191" s="52">
        <f t="shared" si="40"/>
        <v>3.02516666666667</v>
      </c>
      <c r="I191" s="52" t="s">
        <v>30</v>
      </c>
      <c r="J191" s="52">
        <f>IF(OR(C191=Sheet2!$A$10),0,L191*0.2)</f>
        <v>2.398</v>
      </c>
      <c r="K191" s="52">
        <f t="shared" si="41"/>
        <v>5.42316666666667</v>
      </c>
      <c r="L191" s="58">
        <v>11.99</v>
      </c>
      <c r="M191" s="52">
        <f>R191*$B$1</f>
        <v>7.6</v>
      </c>
      <c r="N191" s="24">
        <v>8</v>
      </c>
      <c r="O191" s="24">
        <v>24</v>
      </c>
      <c r="P191" s="24">
        <v>22</v>
      </c>
      <c r="Q191" s="24">
        <v>5</v>
      </c>
      <c r="R191" s="24">
        <v>200</v>
      </c>
      <c r="S191" s="26" t="str">
        <f>IF(Sheet1!R191+Sheet2!$AB$7&gt;=Sheet2!$AA$7,"超出《标准包裹》重量",IF(AND(Sheet1!O191&lt;Sheet2!$X$7,Sheet1!P191&lt;Sheet2!$Y$7,Sheet1!Q191&lt;Sheet2!$Z$7),IF(Sheet1!R191+Sheet2!$AB$6&gt;=Sheet2!$AA$6,Sheet2!$W$7,IF(AND(Sheet1!O191&lt;Sheet2!$X$6,Sheet1!P191&lt;Sheet2!$Y$6,Sheet1!Q191&lt;Sheet2!$Z$6),IF(Sheet1!R191+Sheet2!$AB$5&gt;=Sheet2!$AA$5,Sheet2!$W$6,IF(AND(Sheet1!O191&lt;Sheet2!$X$5,Sheet1!P191&lt;Sheet2!$Y$5,Sheet1!Q191&lt;Sheet2!$Z$5),IF(Sheet1!R191+Sheet2!$AB$4&gt;=Sheet2!$AA$4,Sheet2!$W$5,IF(AND(Sheet1!O191&lt;Sheet2!$X$4,Sheet1!P191&lt;Sheet2!$Y$4,Sheet1!Q191&lt;Sheet2!$Z$4),Sheet2!$W$4,Sheet2!$W$5)),Sheet2!$W$6)),Sheet2!$W$7)),"超出《标准包裹》尺寸"))</f>
        <v>标准包裹</v>
      </c>
      <c r="T191" s="69">
        <f>H191*8.3-N191-M191</f>
        <v>9.50888333333334</v>
      </c>
      <c r="W191" s="74"/>
      <c r="X191" s="74"/>
      <c r="Y191" s="76"/>
    </row>
    <row r="192" ht="15" customHeight="1" spans="1:25">
      <c r="A192" s="46"/>
      <c r="B192" s="47"/>
      <c r="C192" s="45" t="s">
        <v>31</v>
      </c>
      <c r="D192" s="39">
        <f>IF(S192=Sheet2!$W$4,INDEX(Sheet2!$J$5:$Q$5,1,MATCH(Sheet1!C192,Sheet2!$J$3:$Q$3,0)),IF(S192=Sheet2!$W$5,INDEX(Sheet2!$J$6:$Q$8,MATCH(Sheet1!R192,Sheet2!$H$6:$H$8,1),MATCH(Sheet1!C192,Sheet2!$J$3:$Q$3,0)),IF(S192=Sheet2!$W$6,INDEX(Sheet2!$J$9:$Q$9,1,MATCH(Sheet1!C192,Sheet2!$J$3:$Q$3,0)),IF(S192=Sheet2!$W$7,INDEX(Sheet2!$J$10:$Q$24,MATCH(Sheet1!R192,Sheet2!$H$10:$H$24,1),MATCH(Sheet1!C192,Sheet2!$J$3:$Q$3,0)),"ERR COUNTRY!"))))</f>
        <v>3.73</v>
      </c>
      <c r="E192" s="52">
        <f t="shared" si="39"/>
        <v>3.75</v>
      </c>
      <c r="F192" s="53" t="s">
        <v>30</v>
      </c>
      <c r="G192" s="52">
        <f t="shared" si="51"/>
        <v>4.16666666666666</v>
      </c>
      <c r="H192" s="52">
        <f t="shared" si="40"/>
        <v>8.35333333333334</v>
      </c>
      <c r="I192" s="52" t="s">
        <v>30</v>
      </c>
      <c r="J192" s="52">
        <f>IF(OR(C192=Sheet2!$A$10),0,L192*0.2)</f>
        <v>5</v>
      </c>
      <c r="K192" s="52">
        <f t="shared" si="41"/>
        <v>13.3533333333333</v>
      </c>
      <c r="L192" s="58">
        <v>25</v>
      </c>
      <c r="M192" s="52">
        <f>R192*$B$1</f>
        <v>13.3</v>
      </c>
      <c r="N192" s="24">
        <v>30</v>
      </c>
      <c r="O192" s="24">
        <v>30</v>
      </c>
      <c r="P192" s="24">
        <v>20</v>
      </c>
      <c r="Q192" s="24">
        <v>10</v>
      </c>
      <c r="R192" s="24">
        <v>350</v>
      </c>
      <c r="S192" s="26" t="str">
        <f>IF(Sheet1!R192+Sheet2!$AB$7&gt;=Sheet2!$AA$7,"超出《标准包裹》重量",IF(AND(Sheet1!O192&lt;Sheet2!$X$7,Sheet1!P192&lt;Sheet2!$Y$7,Sheet1!Q192&lt;Sheet2!$Z$7),IF(Sheet1!R192+Sheet2!$AB$6&gt;=Sheet2!$AA$6,Sheet2!$W$7,IF(AND(Sheet1!O192&lt;Sheet2!$X$6,Sheet1!P192&lt;Sheet2!$Y$6,Sheet1!Q192&lt;Sheet2!$Z$6),IF(Sheet1!R192+Sheet2!$AB$5&gt;=Sheet2!$AA$5,Sheet2!$W$6,IF(AND(Sheet1!O192&lt;Sheet2!$X$5,Sheet1!P192&lt;Sheet2!$Y$5,Sheet1!Q192&lt;Sheet2!$Z$5),IF(Sheet1!R192+Sheet2!$AB$4&gt;=Sheet2!$AA$4,Sheet2!$W$5,IF(AND(Sheet1!O192&lt;Sheet2!$X$4,Sheet1!P192&lt;Sheet2!$Y$4,Sheet1!Q192&lt;Sheet2!$Z$4),Sheet2!$W$4,Sheet2!$W$5)),Sheet2!$W$6)),Sheet2!$W$7)),"超出《标准包裹》尺寸"))</f>
        <v>标准包裹</v>
      </c>
      <c r="T192" s="69">
        <f t="shared" ref="T192:T196" si="52">H192*7.1-N192-M192</f>
        <v>16.0086666666667</v>
      </c>
      <c r="X192" s="74"/>
      <c r="Y192" s="76"/>
    </row>
    <row r="193" ht="15" customHeight="1" spans="1:25">
      <c r="A193" s="46"/>
      <c r="B193" s="47"/>
      <c r="C193" s="45" t="s">
        <v>32</v>
      </c>
      <c r="D193" s="39">
        <f>IF(S193=Sheet2!$W$4,INDEX(Sheet2!$J$5:$Q$5,1,MATCH(Sheet1!C193,Sheet2!$J$3:$Q$3,0)),IF(S193=Sheet2!$W$5,INDEX(Sheet2!$J$6:$Q$8,MATCH(Sheet1!R193,Sheet2!$H$6:$H$8,1),MATCH(Sheet1!C193,Sheet2!$J$3:$Q$3,0)),IF(S193=Sheet2!$W$6,INDEX(Sheet2!$J$9:$Q$9,1,MATCH(Sheet1!C193,Sheet2!$J$3:$Q$3,0)),IF(S193=Sheet2!$W$7,INDEX(Sheet2!$J$10:$Q$24,MATCH(Sheet1!R193,Sheet2!$H$10:$H$24,1),MATCH(Sheet1!C193,Sheet2!$J$3:$Q$3,0)),"ERR COUNTRY!"))))</f>
        <v>5.27</v>
      </c>
      <c r="E193" s="52">
        <f t="shared" si="39"/>
        <v>2.25</v>
      </c>
      <c r="F193" s="53" t="s">
        <v>30</v>
      </c>
      <c r="G193" s="52">
        <f t="shared" si="51"/>
        <v>2.5</v>
      </c>
      <c r="H193" s="52">
        <f t="shared" si="40"/>
        <v>1.98</v>
      </c>
      <c r="I193" s="52" t="s">
        <v>30</v>
      </c>
      <c r="J193" s="52">
        <f>IF(OR(C193=Sheet2!$A$10),0,L193*0.2)</f>
        <v>3</v>
      </c>
      <c r="K193" s="52">
        <f t="shared" si="41"/>
        <v>4.98</v>
      </c>
      <c r="L193" s="58">
        <v>15</v>
      </c>
      <c r="M193" s="52">
        <f>R193*$B$1</f>
        <v>7.6</v>
      </c>
      <c r="N193" s="24">
        <v>3.8</v>
      </c>
      <c r="O193" s="24">
        <v>24</v>
      </c>
      <c r="P193" s="24">
        <v>16</v>
      </c>
      <c r="Q193" s="24">
        <v>21</v>
      </c>
      <c r="R193" s="24">
        <v>200</v>
      </c>
      <c r="S193" s="26" t="str">
        <f>IF(Sheet1!R193+Sheet2!$AB$7&gt;=Sheet2!$AA$7,"超出《标准包裹》重量",IF(AND(Sheet1!O193&lt;Sheet2!$X$7,Sheet1!P193&lt;Sheet2!$Y$7,Sheet1!Q193&lt;Sheet2!$Z$7),IF(Sheet1!R193+Sheet2!$AB$6&gt;=Sheet2!$AA$6,Sheet2!$W$7,IF(AND(Sheet1!O193&lt;Sheet2!$X$6,Sheet1!P193&lt;Sheet2!$Y$6,Sheet1!Q193&lt;Sheet2!$Z$6),IF(Sheet1!R193+Sheet2!$AB$5&gt;=Sheet2!$AA$5,Sheet2!$W$6,IF(AND(Sheet1!O193&lt;Sheet2!$X$5,Sheet1!P193&lt;Sheet2!$Y$5,Sheet1!Q193&lt;Sheet2!$Z$5),IF(Sheet1!R193+Sheet2!$AB$4&gt;=Sheet2!$AA$4,Sheet2!$W$5,IF(AND(Sheet1!O193&lt;Sheet2!$X$4,Sheet1!P193&lt;Sheet2!$Y$4,Sheet1!Q193&lt;Sheet2!$Z$4),Sheet2!$W$4,Sheet2!$W$5)),Sheet2!$W$6)),Sheet2!$W$7)),"超出《标准包裹》尺寸"))</f>
        <v>标准包裹</v>
      </c>
      <c r="T193" s="69">
        <f t="shared" si="52"/>
        <v>2.658</v>
      </c>
      <c r="Y193" s="76"/>
    </row>
    <row r="194" ht="15" customHeight="1" spans="1:25">
      <c r="A194" s="46"/>
      <c r="B194" s="47"/>
      <c r="C194" s="45" t="s">
        <v>33</v>
      </c>
      <c r="D194" s="39">
        <f>IF(S194=Sheet2!$W$4,INDEX(Sheet2!$J$5:$Q$5,1,MATCH(Sheet1!C194,Sheet2!$J$3:$Q$3,0)),IF(S194=Sheet2!$W$5,INDEX(Sheet2!$J$6:$Q$8,MATCH(Sheet1!R194,Sheet2!$H$6:$H$8,1),MATCH(Sheet1!C194,Sheet2!$J$3:$Q$3,0)),IF(S194=Sheet2!$W$6,INDEX(Sheet2!$J$9:$Q$9,1,MATCH(Sheet1!C194,Sheet2!$J$3:$Q$3,0)),IF(S194=Sheet2!$W$7,INDEX(Sheet2!$J$10:$Q$24,MATCH(Sheet1!R194,Sheet2!$H$10:$H$24,1),MATCH(Sheet1!C194,Sheet2!$J$3:$Q$3,0)),"ERR COUNTRY!"))))</f>
        <v>4.82</v>
      </c>
      <c r="E194" s="52">
        <f t="shared" si="39"/>
        <v>2.3985</v>
      </c>
      <c r="F194" s="53" t="s">
        <v>30</v>
      </c>
      <c r="G194" s="52">
        <f t="shared" si="51"/>
        <v>2.665</v>
      </c>
      <c r="H194" s="52">
        <f t="shared" si="40"/>
        <v>2.9085</v>
      </c>
      <c r="I194" s="52" t="s">
        <v>30</v>
      </c>
      <c r="J194" s="52">
        <f>IF(OR(C194=Sheet2!$A$10),0,L194*0.2)</f>
        <v>3.198</v>
      </c>
      <c r="K194" s="52">
        <f t="shared" si="41"/>
        <v>6.1065</v>
      </c>
      <c r="L194" s="58">
        <v>15.99</v>
      </c>
      <c r="M194" s="52">
        <f>R194*$B$1</f>
        <v>7.6</v>
      </c>
      <c r="N194" s="24">
        <v>8</v>
      </c>
      <c r="O194" s="24">
        <v>24</v>
      </c>
      <c r="P194" s="24">
        <v>22</v>
      </c>
      <c r="Q194" s="24">
        <v>5</v>
      </c>
      <c r="R194" s="24">
        <v>200</v>
      </c>
      <c r="S194" s="26" t="str">
        <f>IF(Sheet1!R194+Sheet2!$AB$7&gt;=Sheet2!$AA$7,"超出《标准包裹》重量",IF(AND(Sheet1!O194&lt;Sheet2!$X$7,Sheet1!P194&lt;Sheet2!$Y$7,Sheet1!Q194&lt;Sheet2!$Z$7),IF(Sheet1!R194+Sheet2!$AB$6&gt;=Sheet2!$AA$6,Sheet2!$W$7,IF(AND(Sheet1!O194&lt;Sheet2!$X$6,Sheet1!P194&lt;Sheet2!$Y$6,Sheet1!Q194&lt;Sheet2!$Z$6),IF(Sheet1!R194+Sheet2!$AB$5&gt;=Sheet2!$AA$5,Sheet2!$W$6,IF(AND(Sheet1!O194&lt;Sheet2!$X$5,Sheet1!P194&lt;Sheet2!$Y$5,Sheet1!Q194&lt;Sheet2!$Z$5),IF(Sheet1!R194+Sheet2!$AB$4&gt;=Sheet2!$AA$4,Sheet2!$W$5,IF(AND(Sheet1!O194&lt;Sheet2!$X$4,Sheet1!P194&lt;Sheet2!$Y$4,Sheet1!Q194&lt;Sheet2!$Z$4),Sheet2!$W$4,Sheet2!$W$5)),Sheet2!$W$6)),Sheet2!$W$7)),"超出《标准包裹》尺寸"))</f>
        <v>标准包裹</v>
      </c>
      <c r="T194" s="69">
        <f t="shared" si="52"/>
        <v>5.05035</v>
      </c>
      <c r="W194" s="75"/>
      <c r="X194" s="75"/>
      <c r="Y194" s="76"/>
    </row>
    <row r="195" ht="15" customHeight="1" spans="1:25">
      <c r="A195" s="46"/>
      <c r="B195" s="47"/>
      <c r="C195" s="45" t="s">
        <v>34</v>
      </c>
      <c r="D195" s="39">
        <f>IF(S195=Sheet2!$W$4,INDEX(Sheet2!$J$5:$Q$5,1,MATCH(Sheet1!C195,Sheet2!$J$3:$Q$3,0)),IF(S195=Sheet2!$W$5,INDEX(Sheet2!$J$6:$Q$8,MATCH(Sheet1!R195,Sheet2!$H$6:$H$8,1),MATCH(Sheet1!C195,Sheet2!$J$3:$Q$3,0)),IF(S195=Sheet2!$W$6,INDEX(Sheet2!$J$9:$Q$9,1,MATCH(Sheet1!C195,Sheet2!$J$3:$Q$3,0)),IF(S195=Sheet2!$W$7,INDEX(Sheet2!$J$10:$Q$24,MATCH(Sheet1!R195,Sheet2!$H$10:$H$24,1),MATCH(Sheet1!C195,Sheet2!$J$3:$Q$3,0)),"ERR COUNTRY!"))))</f>
        <v>4.1</v>
      </c>
      <c r="E195" s="52">
        <f t="shared" si="39"/>
        <v>2.2485</v>
      </c>
      <c r="F195" s="53" t="s">
        <v>30</v>
      </c>
      <c r="G195" s="52">
        <f t="shared" si="51"/>
        <v>2.49833333333333</v>
      </c>
      <c r="H195" s="52">
        <f t="shared" si="40"/>
        <v>3.14516666666667</v>
      </c>
      <c r="I195" s="52" t="s">
        <v>30</v>
      </c>
      <c r="J195" s="52">
        <f>IF(OR(C195=Sheet2!$A$10),0,L195*0.2)</f>
        <v>2.998</v>
      </c>
      <c r="K195" s="52">
        <f t="shared" si="41"/>
        <v>6.14316666666667</v>
      </c>
      <c r="L195" s="58">
        <v>14.99</v>
      </c>
      <c r="M195" s="52">
        <f>R195*$B$1</f>
        <v>7.6</v>
      </c>
      <c r="N195" s="24">
        <v>8</v>
      </c>
      <c r="O195" s="24">
        <v>24</v>
      </c>
      <c r="P195" s="24">
        <v>22</v>
      </c>
      <c r="Q195" s="24">
        <v>5</v>
      </c>
      <c r="R195" s="24">
        <v>200</v>
      </c>
      <c r="S195" s="26" t="str">
        <f>IF(Sheet1!R195+Sheet2!$AB$7&gt;=Sheet2!$AA$7,"超出《标准包裹》重量",IF(AND(Sheet1!O195&lt;Sheet2!$X$7,Sheet1!P195&lt;Sheet2!$Y$7,Sheet1!Q195&lt;Sheet2!$Z$7),IF(Sheet1!R195+Sheet2!$AB$6&gt;=Sheet2!$AA$6,Sheet2!$W$7,IF(AND(Sheet1!O195&lt;Sheet2!$X$6,Sheet1!P195&lt;Sheet2!$Y$6,Sheet1!Q195&lt;Sheet2!$Z$6),IF(Sheet1!R195+Sheet2!$AB$5&gt;=Sheet2!$AA$5,Sheet2!$W$6,IF(AND(Sheet1!O195&lt;Sheet2!$X$5,Sheet1!P195&lt;Sheet2!$Y$5,Sheet1!Q195&lt;Sheet2!$Z$5),IF(Sheet1!R195+Sheet2!$AB$4&gt;=Sheet2!$AA$4,Sheet2!$W$5,IF(AND(Sheet1!O195&lt;Sheet2!$X$4,Sheet1!P195&lt;Sheet2!$Y$4,Sheet1!Q195&lt;Sheet2!$Z$4),Sheet2!$W$4,Sheet2!$W$5)),Sheet2!$W$6)),Sheet2!$W$7)),"超出《标准包裹》尺寸"))</f>
        <v>标准包裹</v>
      </c>
      <c r="T195" s="69">
        <f t="shared" si="52"/>
        <v>6.73068333333333</v>
      </c>
      <c r="Y195" s="76"/>
    </row>
    <row r="196" ht="15" customHeight="1" spans="1:25">
      <c r="A196" s="46"/>
      <c r="B196" s="47"/>
      <c r="C196" s="45" t="s">
        <v>35</v>
      </c>
      <c r="D196" s="39">
        <f>IF(S196=Sheet2!$W$4,INDEX(Sheet2!$J$5:$Q$5,1,MATCH(Sheet1!C196,Sheet2!$J$3:$Q$3,0)),IF(S196=Sheet2!$W$5,INDEX(Sheet2!$J$6:$Q$8,MATCH(Sheet1!R196,Sheet2!$H$6:$H$8,1),MATCH(Sheet1!C196,Sheet2!$J$3:$Q$3,0)),IF(S196=Sheet2!$W$6,INDEX(Sheet2!$J$9:$Q$9,1,MATCH(Sheet1!C196,Sheet2!$J$3:$Q$3,0)),IF(S196=Sheet2!$W$7,INDEX(Sheet2!$J$10:$Q$24,MATCH(Sheet1!R196,Sheet2!$H$10:$H$24,1),MATCH(Sheet1!C196,Sheet2!$J$3:$Q$3,0)),"ERR COUNTRY!"))))</f>
        <v>3.16</v>
      </c>
      <c r="E196" s="52">
        <f t="shared" si="39"/>
        <v>2.0985</v>
      </c>
      <c r="F196" s="53" t="s">
        <v>30</v>
      </c>
      <c r="G196" s="52">
        <f t="shared" si="51"/>
        <v>2.33166666666667</v>
      </c>
      <c r="H196" s="52">
        <f t="shared" si="40"/>
        <v>3.60183333333333</v>
      </c>
      <c r="I196" s="52" t="s">
        <v>30</v>
      </c>
      <c r="J196" s="52">
        <f>IF(OR(C196=Sheet2!$A$10),0,L196*0.2)</f>
        <v>2.798</v>
      </c>
      <c r="K196" s="52">
        <f t="shared" si="41"/>
        <v>6.39983333333333</v>
      </c>
      <c r="L196" s="58">
        <v>13.99</v>
      </c>
      <c r="M196" s="52">
        <f>R196*$B$1</f>
        <v>7.6</v>
      </c>
      <c r="N196" s="24">
        <v>8</v>
      </c>
      <c r="O196" s="24">
        <v>24</v>
      </c>
      <c r="P196" s="24">
        <v>22</v>
      </c>
      <c r="Q196" s="24">
        <v>5</v>
      </c>
      <c r="R196" s="24">
        <v>200</v>
      </c>
      <c r="S196" s="26" t="str">
        <f>IF(Sheet1!R196+Sheet2!$AB$7&gt;=Sheet2!$AA$7,"超出《标准包裹》重量",IF(AND(Sheet1!O196&lt;Sheet2!$X$7,Sheet1!P196&lt;Sheet2!$Y$7,Sheet1!Q196&lt;Sheet2!$Z$7),IF(Sheet1!R196+Sheet2!$AB$6&gt;=Sheet2!$AA$6,Sheet2!$W$7,IF(AND(Sheet1!O196&lt;Sheet2!$X$6,Sheet1!P196&lt;Sheet2!$Y$6,Sheet1!Q196&lt;Sheet2!$Z$6),IF(Sheet1!R196+Sheet2!$AB$5&gt;=Sheet2!$AA$5,Sheet2!$W$6,IF(AND(Sheet1!O196&lt;Sheet2!$X$5,Sheet1!P196&lt;Sheet2!$Y$5,Sheet1!Q196&lt;Sheet2!$Z$5),IF(Sheet1!R196+Sheet2!$AB$4&gt;=Sheet2!$AA$4,Sheet2!$W$5,IF(AND(Sheet1!O196&lt;Sheet2!$X$4,Sheet1!P196&lt;Sheet2!$Y$4,Sheet1!Q196&lt;Sheet2!$Z$4),Sheet2!$W$4,Sheet2!$W$5)),Sheet2!$W$6)),Sheet2!$W$7)),"超出《标准包裹》尺寸"))</f>
        <v>标准包裹</v>
      </c>
      <c r="T196" s="69">
        <f t="shared" si="52"/>
        <v>9.97301666666667</v>
      </c>
      <c r="Y196" s="76"/>
    </row>
    <row r="197" ht="15" customHeight="1" spans="1:25">
      <c r="A197" s="46"/>
      <c r="B197" s="47"/>
      <c r="C197" s="45" t="s">
        <v>36</v>
      </c>
      <c r="D197" s="39">
        <f>IF(S197=Sheet2!$W$4,INDEX(Sheet2!$J$5:$Q$5,1,MATCH(Sheet1!C197,Sheet2!$J$3:$Q$3,0)),IF(S197=Sheet2!$W$5,INDEX(Sheet2!$J$6:$Q$8,MATCH(Sheet1!R197,Sheet2!$H$6:$H$8,1),MATCH(Sheet1!C197,Sheet2!$J$3:$Q$3,0)),IF(S197=Sheet2!$W$6,INDEX(Sheet2!$J$9:$Q$9,1,MATCH(Sheet1!C197,Sheet2!$J$3:$Q$3,0)),IF(S197=Sheet2!$W$7,INDEX(Sheet2!$J$10:$Q$24,MATCH(Sheet1!R197,Sheet2!$H$10:$H$24,1),MATCH(Sheet1!C197,Sheet2!$J$3:$Q$3,0)),"ERR COUNTRY!"))))</f>
        <v>42.91</v>
      </c>
      <c r="E197" s="52">
        <f t="shared" si="39"/>
        <v>21.3</v>
      </c>
      <c r="F197" s="53" t="s">
        <v>30</v>
      </c>
      <c r="G197" s="52">
        <f t="shared" si="51"/>
        <v>23.6666666666667</v>
      </c>
      <c r="H197" s="52">
        <f t="shared" si="40"/>
        <v>25.7233333333333</v>
      </c>
      <c r="I197" s="52" t="s">
        <v>30</v>
      </c>
      <c r="J197" s="52">
        <f>IF(OR(C197=Sheet2!$A$10),0,L197*0.2)</f>
        <v>28.4</v>
      </c>
      <c r="K197" s="52">
        <f t="shared" si="41"/>
        <v>54.1233333333333</v>
      </c>
      <c r="L197" s="58">
        <v>142</v>
      </c>
      <c r="M197" s="52">
        <f>R197*$B$1</f>
        <v>7.6</v>
      </c>
      <c r="N197" s="24">
        <v>8</v>
      </c>
      <c r="O197" s="24">
        <v>24</v>
      </c>
      <c r="P197" s="24">
        <v>22</v>
      </c>
      <c r="Q197" s="24">
        <v>5</v>
      </c>
      <c r="R197" s="24">
        <v>200</v>
      </c>
      <c r="S197" s="26" t="str">
        <f>IF(Sheet1!R197+Sheet2!$AB$7&gt;=Sheet2!$AA$7,"超出《标准包裹》重量",IF(AND(Sheet1!O197&lt;Sheet2!$X$7,Sheet1!P197&lt;Sheet2!$Y$7,Sheet1!Q197&lt;Sheet2!$Z$7),IF(Sheet1!R197+Sheet2!$AB$6&gt;=Sheet2!$AA$6,Sheet2!$W$7,IF(AND(Sheet1!O197&lt;Sheet2!$X$6,Sheet1!P197&lt;Sheet2!$Y$6,Sheet1!Q197&lt;Sheet2!$Z$6),IF(Sheet1!R197+Sheet2!$AB$5&gt;=Sheet2!$AA$5,Sheet2!$W$6,IF(AND(Sheet1!O197&lt;Sheet2!$X$5,Sheet1!P197&lt;Sheet2!$Y$5,Sheet1!Q197&lt;Sheet2!$Z$5),IF(Sheet1!R197+Sheet2!$AB$4&gt;=Sheet2!$AA$4,Sheet2!$W$5,IF(AND(Sheet1!O197&lt;Sheet2!$X$4,Sheet1!P197&lt;Sheet2!$Y$4,Sheet1!Q197&lt;Sheet2!$Z$4),Sheet2!$W$4,Sheet2!$W$5)),Sheet2!$W$6)),Sheet2!$W$7)),"超出《标准包裹》尺寸"))</f>
        <v>标准包裹</v>
      </c>
      <c r="T197" s="69">
        <f>H197*0.63-N197-M197</f>
        <v>0.605700000000008</v>
      </c>
      <c r="Y197" s="76"/>
    </row>
    <row r="198" ht="15" customHeight="1" spans="1:25">
      <c r="A198" s="46"/>
      <c r="B198" s="47"/>
      <c r="C198" s="45" t="s">
        <v>37</v>
      </c>
      <c r="D198" s="39">
        <f>IF(S198=Sheet2!$W$4,INDEX(Sheet2!$J$5:$Q$5,1,MATCH(Sheet1!C198,Sheet2!$J$3:$Q$3,0)),IF(S198=Sheet2!$W$5,INDEX(Sheet2!$J$6:$Q$8,MATCH(Sheet1!R198,Sheet2!$H$6:$H$8,1),MATCH(Sheet1!C198,Sheet2!$J$3:$Q$3,0)),IF(S198=Sheet2!$W$6,INDEX(Sheet2!$J$9:$Q$9,1,MATCH(Sheet1!C198,Sheet2!$J$3:$Q$3,0)),IF(S198=Sheet2!$W$7,INDEX(Sheet2!$J$10:$Q$24,MATCH(Sheet1!R198,Sheet2!$H$10:$H$24,1),MATCH(Sheet1!C198,Sheet2!$J$3:$Q$3,0)),"ERR COUNTRY!"))))</f>
        <v>5.66</v>
      </c>
      <c r="E198" s="52">
        <f t="shared" si="39"/>
        <v>7.2</v>
      </c>
      <c r="F198" s="53" t="s">
        <v>30</v>
      </c>
      <c r="G198" s="52">
        <f t="shared" si="51"/>
        <v>8</v>
      </c>
      <c r="H198" s="52">
        <f t="shared" si="40"/>
        <v>17.54</v>
      </c>
      <c r="I198" s="52" t="s">
        <v>30</v>
      </c>
      <c r="J198" s="52">
        <f>IF(OR(C198=Sheet2!$A$10),0,L198*0.2)</f>
        <v>9.6</v>
      </c>
      <c r="K198" s="52">
        <f t="shared" si="41"/>
        <v>27.14</v>
      </c>
      <c r="L198" s="58">
        <v>48</v>
      </c>
      <c r="M198" s="52">
        <f>R198*$B$1</f>
        <v>7.6</v>
      </c>
      <c r="N198" s="24">
        <v>8</v>
      </c>
      <c r="O198" s="24">
        <v>24</v>
      </c>
      <c r="P198" s="24">
        <v>22</v>
      </c>
      <c r="Q198" s="24">
        <v>5</v>
      </c>
      <c r="R198" s="24">
        <v>200</v>
      </c>
      <c r="S198" s="26" t="str">
        <f>IF(Sheet1!R198+Sheet2!$AB$7&gt;=Sheet2!$AA$7,"超出《标准包裹》重量",IF(AND(Sheet1!O198&lt;Sheet2!$X$7,Sheet1!P198&lt;Sheet2!$Y$7,Sheet1!Q198&lt;Sheet2!$Z$7),IF(Sheet1!R198+Sheet2!$AB$6&gt;=Sheet2!$AA$6,Sheet2!$W$7,IF(AND(Sheet1!O198&lt;Sheet2!$X$6,Sheet1!P198&lt;Sheet2!$Y$6,Sheet1!Q198&lt;Sheet2!$Z$6),IF(Sheet1!R198+Sheet2!$AB$5&gt;=Sheet2!$AA$5,Sheet2!$W$6,IF(AND(Sheet1!O198&lt;Sheet2!$X$5,Sheet1!P198&lt;Sheet2!$Y$5,Sheet1!Q198&lt;Sheet2!$Z$5),IF(Sheet1!R198+Sheet2!$AB$4&gt;=Sheet2!$AA$4,Sheet2!$W$5,IF(AND(Sheet1!O198&lt;Sheet2!$X$4,Sheet1!P198&lt;Sheet2!$Y$4,Sheet1!Q198&lt;Sheet2!$Z$4),Sheet2!$W$4,Sheet2!$W$5)),Sheet2!$W$6)),Sheet2!$W$7)),"超出《标准包裹》尺寸"))</f>
        <v>标准包裹</v>
      </c>
      <c r="T198" s="69">
        <f>H198*1.38-N198-M198</f>
        <v>8.6052</v>
      </c>
      <c r="Y198" s="76"/>
    </row>
    <row r="199" spans="1:25">
      <c r="A199" s="46"/>
      <c r="B199" s="47"/>
      <c r="C199" s="45"/>
      <c r="D199" s="39">
        <v>0</v>
      </c>
      <c r="E199" s="52">
        <f t="shared" si="39"/>
        <v>9</v>
      </c>
      <c r="F199" s="53" t="s">
        <v>39</v>
      </c>
      <c r="G199" s="52">
        <v>0</v>
      </c>
      <c r="H199" s="52">
        <f t="shared" si="40"/>
        <v>51</v>
      </c>
      <c r="I199" s="52" t="s">
        <v>30</v>
      </c>
      <c r="J199" s="52">
        <f>IF(OR(C199=Sheet2!$A$10),0,L199*0.2)</f>
        <v>0</v>
      </c>
      <c r="K199" s="52">
        <f t="shared" si="41"/>
        <v>51</v>
      </c>
      <c r="L199" s="59">
        <v>60</v>
      </c>
      <c r="M199" s="52">
        <f>R199*$B$1</f>
        <v>7.6</v>
      </c>
      <c r="N199" s="24">
        <v>8</v>
      </c>
      <c r="O199" s="64"/>
      <c r="P199" s="64"/>
      <c r="Q199" s="64"/>
      <c r="R199" s="24">
        <v>200</v>
      </c>
      <c r="S199" s="70"/>
      <c r="T199" s="69">
        <f>H199*0.44-N199-M199</f>
        <v>6.84</v>
      </c>
      <c r="Y199" s="76"/>
    </row>
    <row r="200" spans="1:20">
      <c r="A200" s="77"/>
      <c r="B200" s="44"/>
      <c r="C200" s="45" t="s">
        <v>29</v>
      </c>
      <c r="D200" s="39">
        <f>IF(S200=Sheet2!$W$4,INDEX(Sheet2!$J$5:$Q$5,1,MATCH(Sheet1!C200,Sheet2!$J$3:$Q$3,0)),IF(S200=Sheet2!$W$5,INDEX(Sheet2!$J$6:$Q$8,MATCH(Sheet1!R200,Sheet2!$H$6:$H$8,1),MATCH(Sheet1!C200,Sheet2!$J$3:$Q$3,0)),IF(S200=Sheet2!$W$6,INDEX(Sheet2!$J$9:$Q$9,1,MATCH(Sheet1!C200,Sheet2!$J$3:$Q$3,0)),IF(S200=Sheet2!$W$7,INDEX(Sheet2!$J$10:$Q$24,MATCH(Sheet1!R200,Sheet2!$H$10:$H$24,1),MATCH(Sheet1!C200,Sheet2!$J$3:$Q$3,0)),"ERR COUNTRY!"))))</f>
        <v>2.52</v>
      </c>
      <c r="E200" s="52">
        <f t="shared" si="39"/>
        <v>1.7985</v>
      </c>
      <c r="F200" s="53" t="s">
        <v>30</v>
      </c>
      <c r="G200" s="52">
        <f t="shared" ref="G200:G207" si="53">L200-L200/(1+20%)</f>
        <v>1.99833333333333</v>
      </c>
      <c r="H200" s="52">
        <f t="shared" si="40"/>
        <v>4.17316666666667</v>
      </c>
      <c r="I200" s="52" t="s">
        <v>30</v>
      </c>
      <c r="J200" s="52">
        <v>1.5</v>
      </c>
      <c r="K200" s="52">
        <f t="shared" si="41"/>
        <v>5.67316666666667</v>
      </c>
      <c r="L200" s="58">
        <v>11.99</v>
      </c>
      <c r="M200" s="52">
        <f>R200*$B$1</f>
        <v>9.88</v>
      </c>
      <c r="N200" s="24">
        <v>13</v>
      </c>
      <c r="O200" s="24">
        <v>15</v>
      </c>
      <c r="P200" s="24">
        <v>13</v>
      </c>
      <c r="Q200" s="24">
        <v>4</v>
      </c>
      <c r="R200" s="24">
        <v>260</v>
      </c>
      <c r="S200" s="26" t="str">
        <f>IF(Sheet1!R200+Sheet2!$AB$7&gt;=Sheet2!$AA$7,"超出《标准包裹》重量",IF(AND(Sheet1!O200&lt;Sheet2!$X$7,Sheet1!P200&lt;Sheet2!$Y$7,Sheet1!Q200&lt;Sheet2!$Z$7),IF(Sheet1!R200+Sheet2!$AB$6&gt;=Sheet2!$AA$6,Sheet2!$W$7,IF(AND(Sheet1!O200&lt;Sheet2!$X$6,Sheet1!P200&lt;Sheet2!$Y$6,Sheet1!Q200&lt;Sheet2!$Z$6),IF(Sheet1!R200+Sheet2!$AB$5&gt;=Sheet2!$AA$5,Sheet2!$W$6,IF(AND(Sheet1!O200&lt;Sheet2!$X$5,Sheet1!P200&lt;Sheet2!$Y$5,Sheet1!Q200&lt;Sheet2!$Z$5),IF(Sheet1!R200+Sheet2!$AB$4&gt;=Sheet2!$AA$4,Sheet2!$W$5,IF(AND(Sheet1!O200&lt;Sheet2!$X$4,Sheet1!P200&lt;Sheet2!$Y$4,Sheet1!Q200&lt;Sheet2!$Z$4),Sheet2!$W$4,Sheet2!$W$5)),Sheet2!$W$6)),Sheet2!$W$7)),"超出《标准包裹》尺寸"))</f>
        <v>大号信封</v>
      </c>
      <c r="T200" s="69">
        <f>H200*8.3-N200-M200</f>
        <v>11.7572833333333</v>
      </c>
    </row>
    <row r="201" ht="14.25" customHeight="1" spans="1:20">
      <c r="A201" s="46"/>
      <c r="B201" s="47"/>
      <c r="C201" s="45" t="s">
        <v>31</v>
      </c>
      <c r="D201" s="39">
        <f>IF(S201=Sheet2!$W$4,INDEX(Sheet2!$J$5:$Q$5,1,MATCH(Sheet1!C201,Sheet2!$J$3:$Q$3,0)),IF(S201=Sheet2!$W$5,INDEX(Sheet2!$J$6:$Q$8,MATCH(Sheet1!R201,Sheet2!$H$6:$H$8,1),MATCH(Sheet1!C201,Sheet2!$J$3:$Q$3,0)),IF(S201=Sheet2!$W$6,INDEX(Sheet2!$J$9:$Q$9,1,MATCH(Sheet1!C201,Sheet2!$J$3:$Q$3,0)),IF(S201=Sheet2!$W$7,INDEX(Sheet2!$J$10:$Q$24,MATCH(Sheet1!R201,Sheet2!$H$10:$H$24,1),MATCH(Sheet1!C201,Sheet2!$J$3:$Q$3,0)),"ERR COUNTRY!"))))</f>
        <v>3.34</v>
      </c>
      <c r="E201" s="52">
        <f t="shared" si="39"/>
        <v>2.9985</v>
      </c>
      <c r="F201" s="53" t="s">
        <v>30</v>
      </c>
      <c r="G201" s="52">
        <f t="shared" si="53"/>
        <v>3.33166666666667</v>
      </c>
      <c r="H201" s="52">
        <f t="shared" si="40"/>
        <v>6.32183333333333</v>
      </c>
      <c r="I201" s="52" t="s">
        <v>30</v>
      </c>
      <c r="J201" s="52">
        <f>IF(OR(C201=Sheet2!$A$10),0,L201*0.2)</f>
        <v>3.998</v>
      </c>
      <c r="K201" s="52">
        <f t="shared" si="41"/>
        <v>10.3198333333333</v>
      </c>
      <c r="L201" s="58">
        <v>19.99</v>
      </c>
      <c r="M201" s="52">
        <f>R201*$B$1</f>
        <v>3.8</v>
      </c>
      <c r="N201" s="24">
        <v>20</v>
      </c>
      <c r="O201" s="24">
        <v>15</v>
      </c>
      <c r="P201" s="24">
        <v>10</v>
      </c>
      <c r="Q201" s="24">
        <v>5</v>
      </c>
      <c r="R201" s="24">
        <v>100</v>
      </c>
      <c r="S201" s="26" t="str">
        <f>IF(Sheet1!R201+Sheet2!$AB$7&gt;=Sheet2!$AA$7,"超出《标准包裹》重量",IF(AND(Sheet1!O201&lt;Sheet2!$X$7,Sheet1!P201&lt;Sheet2!$Y$7,Sheet1!Q201&lt;Sheet2!$Z$7),IF(Sheet1!R201+Sheet2!$AB$6&gt;=Sheet2!$AA$6,Sheet2!$W$7,IF(AND(Sheet1!O201&lt;Sheet2!$X$6,Sheet1!P201&lt;Sheet2!$Y$6,Sheet1!Q201&lt;Sheet2!$Z$6),IF(Sheet1!R201+Sheet2!$AB$5&gt;=Sheet2!$AA$5,Sheet2!$W$6,IF(AND(Sheet1!O201&lt;Sheet2!$X$5,Sheet1!P201&lt;Sheet2!$Y$5,Sheet1!Q201&lt;Sheet2!$Z$5),IF(Sheet1!R201+Sheet2!$AB$4&gt;=Sheet2!$AA$4,Sheet2!$W$5,IF(AND(Sheet1!O201&lt;Sheet2!$X$4,Sheet1!P201&lt;Sheet2!$Y$4,Sheet1!Q201&lt;Sheet2!$Z$4),Sheet2!$W$4,Sheet2!$W$5)),Sheet2!$W$6)),Sheet2!$W$7)),"超出《标准包裹》尺寸"))</f>
        <v>标准包裹</v>
      </c>
      <c r="T201" s="69">
        <f t="shared" ref="T201:T205" si="54">H201*7.1-N201-M201</f>
        <v>21.0850166666667</v>
      </c>
    </row>
    <row r="202" spans="1:20">
      <c r="A202" s="46"/>
      <c r="B202" s="47"/>
      <c r="C202" s="45" t="s">
        <v>32</v>
      </c>
      <c r="D202" s="39">
        <f>IF(S202=Sheet2!$W$4,INDEX(Sheet2!$J$5:$Q$5,1,MATCH(Sheet1!C202,Sheet2!$J$3:$Q$3,0)),IF(S202=Sheet2!$W$5,INDEX(Sheet2!$J$6:$Q$8,MATCH(Sheet1!R202,Sheet2!$H$6:$H$8,1),MATCH(Sheet1!C202,Sheet2!$J$3:$Q$3,0)),IF(S202=Sheet2!$W$6,INDEX(Sheet2!$J$9:$Q$9,1,MATCH(Sheet1!C202,Sheet2!$J$3:$Q$3,0)),IF(S202=Sheet2!$W$7,INDEX(Sheet2!$J$10:$Q$24,MATCH(Sheet1!R202,Sheet2!$H$10:$H$24,1),MATCH(Sheet1!C202,Sheet2!$J$3:$Q$3,0)),"ERR COUNTRY!"))))</f>
        <v>5.27</v>
      </c>
      <c r="E202" s="52">
        <f t="shared" si="39"/>
        <v>2.6985</v>
      </c>
      <c r="F202" s="53" t="s">
        <v>30</v>
      </c>
      <c r="G202" s="52">
        <f t="shared" si="53"/>
        <v>2.99833333333333</v>
      </c>
      <c r="H202" s="52">
        <f t="shared" si="40"/>
        <v>3.42516666666667</v>
      </c>
      <c r="I202" s="52" t="s">
        <v>30</v>
      </c>
      <c r="J202" s="52">
        <f>IF(OR(C202=Sheet2!$A$10),0,L202*0.2)</f>
        <v>3.598</v>
      </c>
      <c r="K202" s="52">
        <f t="shared" si="41"/>
        <v>7.02316666666667</v>
      </c>
      <c r="L202" s="58">
        <v>17.99</v>
      </c>
      <c r="M202" s="52">
        <f>R202*$B$1</f>
        <v>7.6</v>
      </c>
      <c r="N202" s="24">
        <v>13</v>
      </c>
      <c r="O202" s="24">
        <v>24</v>
      </c>
      <c r="P202" s="24">
        <v>22</v>
      </c>
      <c r="Q202" s="24">
        <v>5</v>
      </c>
      <c r="R202" s="24">
        <v>200</v>
      </c>
      <c r="S202" s="26" t="str">
        <f>IF(Sheet1!R202+Sheet2!$AB$7&gt;=Sheet2!$AA$7,"超出《标准包裹》重量",IF(AND(Sheet1!O202&lt;Sheet2!$X$7,Sheet1!P202&lt;Sheet2!$Y$7,Sheet1!Q202&lt;Sheet2!$Z$7),IF(Sheet1!R202+Sheet2!$AB$6&gt;=Sheet2!$AA$6,Sheet2!$W$7,IF(AND(Sheet1!O202&lt;Sheet2!$X$6,Sheet1!P202&lt;Sheet2!$Y$6,Sheet1!Q202&lt;Sheet2!$Z$6),IF(Sheet1!R202+Sheet2!$AB$5&gt;=Sheet2!$AA$5,Sheet2!$W$6,IF(AND(Sheet1!O202&lt;Sheet2!$X$5,Sheet1!P202&lt;Sheet2!$Y$5,Sheet1!Q202&lt;Sheet2!$Z$5),IF(Sheet1!R202+Sheet2!$AB$4&gt;=Sheet2!$AA$4,Sheet2!$W$5,IF(AND(Sheet1!O202&lt;Sheet2!$X$4,Sheet1!P202&lt;Sheet2!$Y$4,Sheet1!Q202&lt;Sheet2!$Z$4),Sheet2!$W$4,Sheet2!$W$5)),Sheet2!$W$6)),Sheet2!$W$7)),"超出《标准包裹》尺寸"))</f>
        <v>标准包裹</v>
      </c>
      <c r="T202" s="69">
        <f t="shared" si="54"/>
        <v>3.71868333333333</v>
      </c>
    </row>
    <row r="203" spans="1:20">
      <c r="A203" s="46"/>
      <c r="B203" s="47"/>
      <c r="C203" s="45" t="s">
        <v>33</v>
      </c>
      <c r="D203" s="39">
        <f>IF(S203=Sheet2!$W$4,INDEX(Sheet2!$J$5:$Q$5,1,MATCH(Sheet1!C203,Sheet2!$J$3:$Q$3,0)),IF(S203=Sheet2!$W$5,INDEX(Sheet2!$J$6:$Q$8,MATCH(Sheet1!R203,Sheet2!$H$6:$H$8,1),MATCH(Sheet1!C203,Sheet2!$J$3:$Q$3,0)),IF(S203=Sheet2!$W$6,INDEX(Sheet2!$J$9:$Q$9,1,MATCH(Sheet1!C203,Sheet2!$J$3:$Q$3,0)),IF(S203=Sheet2!$W$7,INDEX(Sheet2!$J$10:$Q$24,MATCH(Sheet1!R203,Sheet2!$H$10:$H$24,1),MATCH(Sheet1!C203,Sheet2!$J$3:$Q$3,0)),"ERR COUNTRY!"))))</f>
        <v>4.82</v>
      </c>
      <c r="E203" s="52">
        <f t="shared" si="39"/>
        <v>2.3985</v>
      </c>
      <c r="F203" s="53" t="s">
        <v>30</v>
      </c>
      <c r="G203" s="52">
        <f t="shared" si="53"/>
        <v>2.665</v>
      </c>
      <c r="H203" s="52">
        <f t="shared" si="40"/>
        <v>2.9085</v>
      </c>
      <c r="I203" s="52" t="s">
        <v>30</v>
      </c>
      <c r="J203" s="52">
        <f>IF(OR(C203=Sheet2!$A$10),0,L203*0.2)</f>
        <v>3.198</v>
      </c>
      <c r="K203" s="52">
        <f t="shared" si="41"/>
        <v>6.1065</v>
      </c>
      <c r="L203" s="58">
        <v>15.99</v>
      </c>
      <c r="M203" s="52">
        <f>R203*$B$1</f>
        <v>7.6</v>
      </c>
      <c r="N203" s="24">
        <v>13</v>
      </c>
      <c r="O203" s="24">
        <v>24</v>
      </c>
      <c r="P203" s="24">
        <v>22</v>
      </c>
      <c r="Q203" s="24">
        <v>5</v>
      </c>
      <c r="R203" s="24">
        <v>200</v>
      </c>
      <c r="S203" s="26" t="str">
        <f>IF(Sheet1!R203+Sheet2!$AB$7&gt;=Sheet2!$AA$7,"超出《标准包裹》重量",IF(AND(Sheet1!O203&lt;Sheet2!$X$7,Sheet1!P203&lt;Sheet2!$Y$7,Sheet1!Q203&lt;Sheet2!$Z$7),IF(Sheet1!R203+Sheet2!$AB$6&gt;=Sheet2!$AA$6,Sheet2!$W$7,IF(AND(Sheet1!O203&lt;Sheet2!$X$6,Sheet1!P203&lt;Sheet2!$Y$6,Sheet1!Q203&lt;Sheet2!$Z$6),IF(Sheet1!R203+Sheet2!$AB$5&gt;=Sheet2!$AA$5,Sheet2!$W$6,IF(AND(Sheet1!O203&lt;Sheet2!$X$5,Sheet1!P203&lt;Sheet2!$Y$5,Sheet1!Q203&lt;Sheet2!$Z$5),IF(Sheet1!R203+Sheet2!$AB$4&gt;=Sheet2!$AA$4,Sheet2!$W$5,IF(AND(Sheet1!O203&lt;Sheet2!$X$4,Sheet1!P203&lt;Sheet2!$Y$4,Sheet1!Q203&lt;Sheet2!$Z$4),Sheet2!$W$4,Sheet2!$W$5)),Sheet2!$W$6)),Sheet2!$W$7)),"超出《标准包裹》尺寸"))</f>
        <v>标准包裹</v>
      </c>
      <c r="T203" s="69">
        <f t="shared" si="54"/>
        <v>0.0503499999999999</v>
      </c>
    </row>
    <row r="204" spans="1:20">
      <c r="A204" s="46"/>
      <c r="B204" s="47"/>
      <c r="C204" s="45" t="s">
        <v>34</v>
      </c>
      <c r="D204" s="39">
        <f>IF(S204=Sheet2!$W$4,INDEX(Sheet2!$J$5:$Q$5,1,MATCH(Sheet1!C204,Sheet2!$J$3:$Q$3,0)),IF(S204=Sheet2!$W$5,INDEX(Sheet2!$J$6:$Q$8,MATCH(Sheet1!R204,Sheet2!$H$6:$H$8,1),MATCH(Sheet1!C204,Sheet2!$J$3:$Q$3,0)),IF(S204=Sheet2!$W$6,INDEX(Sheet2!$J$9:$Q$9,1,MATCH(Sheet1!C204,Sheet2!$J$3:$Q$3,0)),IF(S204=Sheet2!$W$7,INDEX(Sheet2!$J$10:$Q$24,MATCH(Sheet1!R204,Sheet2!$H$10:$H$24,1),MATCH(Sheet1!C204,Sheet2!$J$3:$Q$3,0)),"ERR COUNTRY!"))))</f>
        <v>4.1</v>
      </c>
      <c r="E204" s="52">
        <f t="shared" si="39"/>
        <v>2.2485</v>
      </c>
      <c r="F204" s="53" t="s">
        <v>30</v>
      </c>
      <c r="G204" s="52">
        <f t="shared" si="53"/>
        <v>2.49833333333333</v>
      </c>
      <c r="H204" s="52">
        <f t="shared" si="40"/>
        <v>3.14516666666667</v>
      </c>
      <c r="I204" s="52" t="s">
        <v>30</v>
      </c>
      <c r="J204" s="52">
        <f>IF(OR(C204=Sheet2!$A$10),0,L204*0.2)</f>
        <v>2.998</v>
      </c>
      <c r="K204" s="52">
        <f t="shared" si="41"/>
        <v>6.14316666666667</v>
      </c>
      <c r="L204" s="58">
        <v>14.99</v>
      </c>
      <c r="M204" s="52">
        <f>R204*$B$1</f>
        <v>7.6</v>
      </c>
      <c r="N204" s="24">
        <v>13</v>
      </c>
      <c r="O204" s="24">
        <v>24</v>
      </c>
      <c r="P204" s="24">
        <v>22</v>
      </c>
      <c r="Q204" s="24">
        <v>5</v>
      </c>
      <c r="R204" s="24">
        <v>200</v>
      </c>
      <c r="S204" s="26" t="str">
        <f>IF(Sheet1!R204+Sheet2!$AB$7&gt;=Sheet2!$AA$7,"超出《标准包裹》重量",IF(AND(Sheet1!O204&lt;Sheet2!$X$7,Sheet1!P204&lt;Sheet2!$Y$7,Sheet1!Q204&lt;Sheet2!$Z$7),IF(Sheet1!R204+Sheet2!$AB$6&gt;=Sheet2!$AA$6,Sheet2!$W$7,IF(AND(Sheet1!O204&lt;Sheet2!$X$6,Sheet1!P204&lt;Sheet2!$Y$6,Sheet1!Q204&lt;Sheet2!$Z$6),IF(Sheet1!R204+Sheet2!$AB$5&gt;=Sheet2!$AA$5,Sheet2!$W$6,IF(AND(Sheet1!O204&lt;Sheet2!$X$5,Sheet1!P204&lt;Sheet2!$Y$5,Sheet1!Q204&lt;Sheet2!$Z$5),IF(Sheet1!R204+Sheet2!$AB$4&gt;=Sheet2!$AA$4,Sheet2!$W$5,IF(AND(Sheet1!O204&lt;Sheet2!$X$4,Sheet1!P204&lt;Sheet2!$Y$4,Sheet1!Q204&lt;Sheet2!$Z$4),Sheet2!$W$4,Sheet2!$W$5)),Sheet2!$W$6)),Sheet2!$W$7)),"超出《标准包裹》尺寸"))</f>
        <v>标准包裹</v>
      </c>
      <c r="T204" s="69">
        <f t="shared" si="54"/>
        <v>1.73068333333333</v>
      </c>
    </row>
    <row r="205" spans="1:20">
      <c r="A205" s="46"/>
      <c r="B205" s="47"/>
      <c r="C205" s="45" t="s">
        <v>35</v>
      </c>
      <c r="D205" s="39">
        <f>IF(S205=Sheet2!$W$4,INDEX(Sheet2!$J$5:$Q$5,1,MATCH(Sheet1!C205,Sheet2!$J$3:$Q$3,0)),IF(S205=Sheet2!$W$5,INDEX(Sheet2!$J$6:$Q$8,MATCH(Sheet1!R205,Sheet2!$H$6:$H$8,1),MATCH(Sheet1!C205,Sheet2!$J$3:$Q$3,0)),IF(S205=Sheet2!$W$6,INDEX(Sheet2!$J$9:$Q$9,1,MATCH(Sheet1!C205,Sheet2!$J$3:$Q$3,0)),IF(S205=Sheet2!$W$7,INDEX(Sheet2!$J$10:$Q$24,MATCH(Sheet1!R205,Sheet2!$H$10:$H$24,1),MATCH(Sheet1!C205,Sheet2!$J$3:$Q$3,0)),"ERR COUNTRY!"))))</f>
        <v>3.16</v>
      </c>
      <c r="E205" s="52">
        <f t="shared" si="39"/>
        <v>2.0985</v>
      </c>
      <c r="F205" s="53" t="s">
        <v>30</v>
      </c>
      <c r="G205" s="52">
        <f t="shared" si="53"/>
        <v>2.33166666666667</v>
      </c>
      <c r="H205" s="52">
        <f t="shared" si="40"/>
        <v>3.60183333333333</v>
      </c>
      <c r="I205" s="52" t="s">
        <v>30</v>
      </c>
      <c r="J205" s="52">
        <f>IF(OR(C205=Sheet2!$A$10),0,L205*0.2)</f>
        <v>2.798</v>
      </c>
      <c r="K205" s="52">
        <f t="shared" si="41"/>
        <v>6.39983333333333</v>
      </c>
      <c r="L205" s="58">
        <v>13.99</v>
      </c>
      <c r="M205" s="52">
        <f>R205*$B$1</f>
        <v>7.6</v>
      </c>
      <c r="N205" s="24">
        <v>13</v>
      </c>
      <c r="O205" s="24">
        <v>24</v>
      </c>
      <c r="P205" s="24">
        <v>22</v>
      </c>
      <c r="Q205" s="24">
        <v>5</v>
      </c>
      <c r="R205" s="24">
        <v>200</v>
      </c>
      <c r="S205" s="26" t="str">
        <f>IF(Sheet1!R205+Sheet2!$AB$7&gt;=Sheet2!$AA$7,"超出《标准包裹》重量",IF(AND(Sheet1!O205&lt;Sheet2!$X$7,Sheet1!P205&lt;Sheet2!$Y$7,Sheet1!Q205&lt;Sheet2!$Z$7),IF(Sheet1!R205+Sheet2!$AB$6&gt;=Sheet2!$AA$6,Sheet2!$W$7,IF(AND(Sheet1!O205&lt;Sheet2!$X$6,Sheet1!P205&lt;Sheet2!$Y$6,Sheet1!Q205&lt;Sheet2!$Z$6),IF(Sheet1!R205+Sheet2!$AB$5&gt;=Sheet2!$AA$5,Sheet2!$W$6,IF(AND(Sheet1!O205&lt;Sheet2!$X$5,Sheet1!P205&lt;Sheet2!$Y$5,Sheet1!Q205&lt;Sheet2!$Z$5),IF(Sheet1!R205+Sheet2!$AB$4&gt;=Sheet2!$AA$4,Sheet2!$W$5,IF(AND(Sheet1!O205&lt;Sheet2!$X$4,Sheet1!P205&lt;Sheet2!$Y$4,Sheet1!Q205&lt;Sheet2!$Z$4),Sheet2!$W$4,Sheet2!$W$5)),Sheet2!$W$6)),Sheet2!$W$7)),"超出《标准包裹》尺寸"))</f>
        <v>标准包裹</v>
      </c>
      <c r="T205" s="69">
        <f t="shared" si="54"/>
        <v>4.97301666666667</v>
      </c>
    </row>
    <row r="206" spans="1:20">
      <c r="A206" s="46"/>
      <c r="B206" s="47"/>
      <c r="C206" s="45" t="s">
        <v>36</v>
      </c>
      <c r="D206" s="39">
        <f>IF(S206=Sheet2!$W$4,INDEX(Sheet2!$J$5:$Q$5,1,MATCH(Sheet1!C206,Sheet2!$J$3:$Q$3,0)),IF(S206=Sheet2!$W$5,INDEX(Sheet2!$J$6:$Q$8,MATCH(Sheet1!R206,Sheet2!$H$6:$H$8,1),MATCH(Sheet1!C206,Sheet2!$J$3:$Q$3,0)),IF(S206=Sheet2!$W$6,INDEX(Sheet2!$J$9:$Q$9,1,MATCH(Sheet1!C206,Sheet2!$J$3:$Q$3,0)),IF(S206=Sheet2!$W$7,INDEX(Sheet2!$J$10:$Q$24,MATCH(Sheet1!R206,Sheet2!$H$10:$H$24,1),MATCH(Sheet1!C206,Sheet2!$J$3:$Q$3,0)),"ERR COUNTRY!"))))</f>
        <v>42.91</v>
      </c>
      <c r="E206" s="52">
        <f t="shared" si="39"/>
        <v>21.3</v>
      </c>
      <c r="F206" s="53" t="s">
        <v>30</v>
      </c>
      <c r="G206" s="52">
        <f t="shared" si="53"/>
        <v>23.6666666666667</v>
      </c>
      <c r="H206" s="52">
        <f t="shared" si="40"/>
        <v>25.7233333333333</v>
      </c>
      <c r="I206" s="52" t="s">
        <v>30</v>
      </c>
      <c r="J206" s="52">
        <f>IF(OR(C206=Sheet2!$A$10),0,L206*0.2)</f>
        <v>28.4</v>
      </c>
      <c r="K206" s="52">
        <f t="shared" si="41"/>
        <v>54.1233333333333</v>
      </c>
      <c r="L206" s="58">
        <v>142</v>
      </c>
      <c r="M206" s="52">
        <f>R206*$B$1</f>
        <v>7.6</v>
      </c>
      <c r="N206" s="24">
        <v>13</v>
      </c>
      <c r="O206" s="24">
        <v>24</v>
      </c>
      <c r="P206" s="24">
        <v>22</v>
      </c>
      <c r="Q206" s="24">
        <v>5</v>
      </c>
      <c r="R206" s="24">
        <v>200</v>
      </c>
      <c r="S206" s="26" t="str">
        <f>IF(Sheet1!R206+Sheet2!$AB$7&gt;=Sheet2!$AA$7,"超出《标准包裹》重量",IF(AND(Sheet1!O206&lt;Sheet2!$X$7,Sheet1!P206&lt;Sheet2!$Y$7,Sheet1!Q206&lt;Sheet2!$Z$7),IF(Sheet1!R206+Sheet2!$AB$6&gt;=Sheet2!$AA$6,Sheet2!$W$7,IF(AND(Sheet1!O206&lt;Sheet2!$X$6,Sheet1!P206&lt;Sheet2!$Y$6,Sheet1!Q206&lt;Sheet2!$Z$6),IF(Sheet1!R206+Sheet2!$AB$5&gt;=Sheet2!$AA$5,Sheet2!$W$6,IF(AND(Sheet1!O206&lt;Sheet2!$X$5,Sheet1!P206&lt;Sheet2!$Y$5,Sheet1!Q206&lt;Sheet2!$Z$5),IF(Sheet1!R206+Sheet2!$AB$4&gt;=Sheet2!$AA$4,Sheet2!$W$5,IF(AND(Sheet1!O206&lt;Sheet2!$X$4,Sheet1!P206&lt;Sheet2!$Y$4,Sheet1!Q206&lt;Sheet2!$Z$4),Sheet2!$W$4,Sheet2!$W$5)),Sheet2!$W$6)),Sheet2!$W$7)),"超出《标准包裹》尺寸"))</f>
        <v>标准包裹</v>
      </c>
      <c r="T206" s="69">
        <f>H206*0.63-N206-M206</f>
        <v>-4.39429999999999</v>
      </c>
    </row>
    <row r="207" spans="1:20">
      <c r="A207" s="46"/>
      <c r="B207" s="47"/>
      <c r="C207" s="45" t="s">
        <v>37</v>
      </c>
      <c r="D207" s="39">
        <f>IF(S207=Sheet2!$W$4,INDEX(Sheet2!$J$5:$Q$5,1,MATCH(Sheet1!C207,Sheet2!$J$3:$Q$3,0)),IF(S207=Sheet2!$W$5,INDEX(Sheet2!$J$6:$Q$8,MATCH(Sheet1!R207,Sheet2!$H$6:$H$8,1),MATCH(Sheet1!C207,Sheet2!$J$3:$Q$3,0)),IF(S207=Sheet2!$W$6,INDEX(Sheet2!$J$9:$Q$9,1,MATCH(Sheet1!C207,Sheet2!$J$3:$Q$3,0)),IF(S207=Sheet2!$W$7,INDEX(Sheet2!$J$10:$Q$24,MATCH(Sheet1!R207,Sheet2!$H$10:$H$24,1),MATCH(Sheet1!C207,Sheet2!$J$3:$Q$3,0)),"ERR COUNTRY!"))))</f>
        <v>5.66</v>
      </c>
      <c r="E207" s="52">
        <f t="shared" si="39"/>
        <v>7.2</v>
      </c>
      <c r="F207" s="53" t="s">
        <v>30</v>
      </c>
      <c r="G207" s="52">
        <f t="shared" si="53"/>
        <v>8</v>
      </c>
      <c r="H207" s="52">
        <f t="shared" si="40"/>
        <v>17.54</v>
      </c>
      <c r="I207" s="52" t="s">
        <v>30</v>
      </c>
      <c r="J207" s="52">
        <f>IF(OR(C207=Sheet2!$A$10),0,L207*0.2)</f>
        <v>9.6</v>
      </c>
      <c r="K207" s="52">
        <f t="shared" si="41"/>
        <v>27.14</v>
      </c>
      <c r="L207" s="58">
        <v>48</v>
      </c>
      <c r="M207" s="52">
        <f>R207*$B$1</f>
        <v>7.6</v>
      </c>
      <c r="N207" s="24">
        <v>13</v>
      </c>
      <c r="O207" s="24">
        <v>24</v>
      </c>
      <c r="P207" s="24">
        <v>22</v>
      </c>
      <c r="Q207" s="24">
        <v>5</v>
      </c>
      <c r="R207" s="24">
        <v>200</v>
      </c>
      <c r="S207" s="26" t="str">
        <f>IF(Sheet1!R207+Sheet2!$AB$7&gt;=Sheet2!$AA$7,"超出《标准包裹》重量",IF(AND(Sheet1!O207&lt;Sheet2!$X$7,Sheet1!P207&lt;Sheet2!$Y$7,Sheet1!Q207&lt;Sheet2!$Z$7),IF(Sheet1!R207+Sheet2!$AB$6&gt;=Sheet2!$AA$6,Sheet2!$W$7,IF(AND(Sheet1!O207&lt;Sheet2!$X$6,Sheet1!P207&lt;Sheet2!$Y$6,Sheet1!Q207&lt;Sheet2!$Z$6),IF(Sheet1!R207+Sheet2!$AB$5&gt;=Sheet2!$AA$5,Sheet2!$W$6,IF(AND(Sheet1!O207&lt;Sheet2!$X$5,Sheet1!P207&lt;Sheet2!$Y$5,Sheet1!Q207&lt;Sheet2!$Z$5),IF(Sheet1!R207+Sheet2!$AB$4&gt;=Sheet2!$AA$4,Sheet2!$W$5,IF(AND(Sheet1!O207&lt;Sheet2!$X$4,Sheet1!P207&lt;Sheet2!$Y$4,Sheet1!Q207&lt;Sheet2!$Z$4),Sheet2!$W$4,Sheet2!$W$5)),Sheet2!$W$6)),Sheet2!$W$7)),"超出《标准包裹》尺寸"))</f>
        <v>标准包裹</v>
      </c>
      <c r="T207" s="69">
        <f>H207*1.38-N207-M207</f>
        <v>3.6052</v>
      </c>
    </row>
    <row r="208" spans="1:20">
      <c r="A208" s="46"/>
      <c r="B208" s="47"/>
      <c r="C208" s="45"/>
      <c r="D208" s="39">
        <v>0</v>
      </c>
      <c r="E208" s="52">
        <f t="shared" si="39"/>
        <v>9</v>
      </c>
      <c r="F208" s="53" t="s">
        <v>39</v>
      </c>
      <c r="G208" s="52">
        <v>0</v>
      </c>
      <c r="H208" s="52">
        <f t="shared" si="40"/>
        <v>51</v>
      </c>
      <c r="I208" s="52" t="s">
        <v>30</v>
      </c>
      <c r="J208" s="52">
        <f>IF(OR(C208=Sheet2!$A$10),0,L208*0.2)</f>
        <v>0</v>
      </c>
      <c r="K208" s="52">
        <f t="shared" si="41"/>
        <v>51</v>
      </c>
      <c r="L208" s="59">
        <v>60</v>
      </c>
      <c r="M208" s="52">
        <f>R208*$B$1</f>
        <v>7.6</v>
      </c>
      <c r="N208" s="24">
        <v>13</v>
      </c>
      <c r="O208" s="64"/>
      <c r="P208" s="64"/>
      <c r="Q208" s="64"/>
      <c r="R208" s="24">
        <v>200</v>
      </c>
      <c r="S208" s="70"/>
      <c r="T208" s="69">
        <f>H208*0.44-N208-M208</f>
        <v>1.84</v>
      </c>
    </row>
    <row r="209" spans="3:19">
      <c r="C209" s="81"/>
      <c r="F209" s="82"/>
      <c r="G209" s="25"/>
      <c r="I209" s="82"/>
      <c r="S209" s="83"/>
    </row>
  </sheetData>
  <sheetProtection formatCells="0" insertHyperlinks="0" autoFilter="0"/>
  <mergeCells count="86">
    <mergeCell ref="O1:S1"/>
    <mergeCell ref="A3:A10"/>
    <mergeCell ref="A11:A19"/>
    <mergeCell ref="A20:A28"/>
    <mergeCell ref="A29:A37"/>
    <mergeCell ref="A38:A46"/>
    <mergeCell ref="A47:A55"/>
    <mergeCell ref="A56:A64"/>
    <mergeCell ref="A65:A73"/>
    <mergeCell ref="A74:A82"/>
    <mergeCell ref="A83:A91"/>
    <mergeCell ref="A92:A100"/>
    <mergeCell ref="A101:A109"/>
    <mergeCell ref="A110:A118"/>
    <mergeCell ref="A119:A127"/>
    <mergeCell ref="A128:A136"/>
    <mergeCell ref="A137:A145"/>
    <mergeCell ref="A146:A154"/>
    <mergeCell ref="A155:A163"/>
    <mergeCell ref="A164:A172"/>
    <mergeCell ref="A173:A181"/>
    <mergeCell ref="A182:A190"/>
    <mergeCell ref="A191:A199"/>
    <mergeCell ref="A200:A208"/>
    <mergeCell ref="B3:B10"/>
    <mergeCell ref="B11:B19"/>
    <mergeCell ref="B20:B28"/>
    <mergeCell ref="B29:B37"/>
    <mergeCell ref="B38:B46"/>
    <mergeCell ref="B47:B55"/>
    <mergeCell ref="B56:B64"/>
    <mergeCell ref="B65:B73"/>
    <mergeCell ref="B74:B82"/>
    <mergeCell ref="B83:B91"/>
    <mergeCell ref="B92:B100"/>
    <mergeCell ref="B101:B109"/>
    <mergeCell ref="B110:B118"/>
    <mergeCell ref="B119:B127"/>
    <mergeCell ref="B128:B136"/>
    <mergeCell ref="B137:B145"/>
    <mergeCell ref="B146:B154"/>
    <mergeCell ref="B155:B163"/>
    <mergeCell ref="B164:B172"/>
    <mergeCell ref="B173:B181"/>
    <mergeCell ref="B182:B190"/>
    <mergeCell ref="B191:B199"/>
    <mergeCell ref="B200:B208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T1:T2"/>
    <mergeCell ref="U1:U2"/>
    <mergeCell ref="V1:V2"/>
    <mergeCell ref="W1:W2"/>
    <mergeCell ref="X1:X2"/>
    <mergeCell ref="Y1:Y2"/>
    <mergeCell ref="Y11:Y19"/>
    <mergeCell ref="Y20:Y28"/>
    <mergeCell ref="Y29:Y37"/>
    <mergeCell ref="Y38:Y46"/>
    <mergeCell ref="Y47:Y55"/>
    <mergeCell ref="Y56:Y64"/>
    <mergeCell ref="Y65:Y73"/>
    <mergeCell ref="Y74:Y82"/>
    <mergeCell ref="Y83:Y91"/>
    <mergeCell ref="Y92:Y100"/>
    <mergeCell ref="Y101:Y109"/>
    <mergeCell ref="Y110:Y118"/>
    <mergeCell ref="Y119:Y127"/>
    <mergeCell ref="Y128:Y136"/>
    <mergeCell ref="Y137:Y145"/>
    <mergeCell ref="Y146:Y154"/>
    <mergeCell ref="Y155:Y163"/>
    <mergeCell ref="Y164:Y172"/>
    <mergeCell ref="Y173:Y181"/>
    <mergeCell ref="Y182:Y190"/>
    <mergeCell ref="Y191:Y199"/>
  </mergeCells>
  <conditionalFormatting sqref="D19">
    <cfRule type="containsText" dxfId="0" priority="45" operator="between" text="错误">
      <formula>NOT(ISERROR(SEARCH("错误",D19)))</formula>
    </cfRule>
  </conditionalFormatting>
  <conditionalFormatting sqref="D28">
    <cfRule type="containsText" dxfId="0" priority="39" operator="between" text="错误">
      <formula>NOT(ISERROR(SEARCH("错误",D28)))</formula>
    </cfRule>
  </conditionalFormatting>
  <conditionalFormatting sqref="D37">
    <cfRule type="containsText" dxfId="0" priority="37" operator="between" text="错误">
      <formula>NOT(ISERROR(SEARCH("错误",D37)))</formula>
    </cfRule>
  </conditionalFormatting>
  <conditionalFormatting sqref="D46">
    <cfRule type="containsText" dxfId="0" priority="35" operator="between" text="错误">
      <formula>NOT(ISERROR(SEARCH("错误",D46)))</formula>
    </cfRule>
  </conditionalFormatting>
  <conditionalFormatting sqref="D55">
    <cfRule type="containsText" dxfId="0" priority="33" operator="between" text="错误">
      <formula>NOT(ISERROR(SEARCH("错误",D55)))</formula>
    </cfRule>
  </conditionalFormatting>
  <conditionalFormatting sqref="D64">
    <cfRule type="containsText" dxfId="0" priority="31" operator="between" text="错误">
      <formula>NOT(ISERROR(SEARCH("错误",D64)))</formula>
    </cfRule>
  </conditionalFormatting>
  <conditionalFormatting sqref="D73">
    <cfRule type="containsText" dxfId="0" priority="29" operator="between" text="错误">
      <formula>NOT(ISERROR(SEARCH("错误",D73)))</formula>
    </cfRule>
  </conditionalFormatting>
  <conditionalFormatting sqref="D82">
    <cfRule type="containsText" dxfId="0" priority="27" operator="between" text="错误">
      <formula>NOT(ISERROR(SEARCH("错误",D82)))</formula>
    </cfRule>
  </conditionalFormatting>
  <conditionalFormatting sqref="D91">
    <cfRule type="containsText" dxfId="0" priority="25" operator="between" text="错误">
      <formula>NOT(ISERROR(SEARCH("错误",D91)))</formula>
    </cfRule>
  </conditionalFormatting>
  <conditionalFormatting sqref="D100">
    <cfRule type="containsText" dxfId="0" priority="23" operator="between" text="错误">
      <formula>NOT(ISERROR(SEARCH("错误",D100)))</formula>
    </cfRule>
  </conditionalFormatting>
  <conditionalFormatting sqref="D109">
    <cfRule type="containsText" dxfId="0" priority="21" operator="between" text="错误">
      <formula>NOT(ISERROR(SEARCH("错误",D109)))</formula>
    </cfRule>
  </conditionalFormatting>
  <conditionalFormatting sqref="D118">
    <cfRule type="containsText" dxfId="0" priority="19" operator="between" text="错误">
      <formula>NOT(ISERROR(SEARCH("错误",D118)))</formula>
    </cfRule>
  </conditionalFormatting>
  <conditionalFormatting sqref="D127">
    <cfRule type="containsText" dxfId="0" priority="17" operator="between" text="错误">
      <formula>NOT(ISERROR(SEARCH("错误",D127)))</formula>
    </cfRule>
  </conditionalFormatting>
  <conditionalFormatting sqref="D136">
    <cfRule type="containsText" dxfId="0" priority="15" operator="between" text="错误">
      <formula>NOT(ISERROR(SEARCH("错误",D136)))</formula>
    </cfRule>
  </conditionalFormatting>
  <conditionalFormatting sqref="D145">
    <cfRule type="containsText" dxfId="0" priority="13" operator="between" text="错误">
      <formula>NOT(ISERROR(SEARCH("错误",D145)))</formula>
    </cfRule>
  </conditionalFormatting>
  <conditionalFormatting sqref="D154">
    <cfRule type="containsText" dxfId="0" priority="11" operator="between" text="错误">
      <formula>NOT(ISERROR(SEARCH("错误",D154)))</formula>
    </cfRule>
  </conditionalFormatting>
  <conditionalFormatting sqref="D163">
    <cfRule type="containsText" dxfId="0" priority="9" operator="between" text="错误">
      <formula>NOT(ISERROR(SEARCH("错误",D163)))</formula>
    </cfRule>
  </conditionalFormatting>
  <conditionalFormatting sqref="D172">
    <cfRule type="containsText" dxfId="0" priority="7" operator="between" text="错误">
      <formula>NOT(ISERROR(SEARCH("错误",D172)))</formula>
    </cfRule>
  </conditionalFormatting>
  <conditionalFormatting sqref="D181">
    <cfRule type="containsText" dxfId="0" priority="5" operator="between" text="错误">
      <formula>NOT(ISERROR(SEARCH("错误",D181)))</formula>
    </cfRule>
  </conditionalFormatting>
  <conditionalFormatting sqref="D190">
    <cfRule type="containsText" dxfId="0" priority="3" operator="between" text="错误">
      <formula>NOT(ISERROR(SEARCH("错误",D190)))</formula>
    </cfRule>
  </conditionalFormatting>
  <conditionalFormatting sqref="D199">
    <cfRule type="containsText" dxfId="0" priority="1" operator="between" text="错误">
      <formula>NOT(ISERROR(SEARCH("错误",D199)))</formula>
    </cfRule>
  </conditionalFormatting>
  <conditionalFormatting sqref="D11:D18">
    <cfRule type="containsText" dxfId="0" priority="53" operator="between" text="错误">
      <formula>NOT(ISERROR(SEARCH("错误",D11)))</formula>
    </cfRule>
  </conditionalFormatting>
  <conditionalFormatting sqref="D20:D27">
    <cfRule type="containsText" dxfId="0" priority="40" operator="between" text="错误">
      <formula>NOT(ISERROR(SEARCH("错误",D20)))</formula>
    </cfRule>
  </conditionalFormatting>
  <conditionalFormatting sqref="D29:D36">
    <cfRule type="containsText" dxfId="0" priority="38" operator="between" text="错误">
      <formula>NOT(ISERROR(SEARCH("错误",D29)))</formula>
    </cfRule>
  </conditionalFormatting>
  <conditionalFormatting sqref="D38:D45">
    <cfRule type="containsText" dxfId="0" priority="36" operator="between" text="错误">
      <formula>NOT(ISERROR(SEARCH("错误",D38)))</formula>
    </cfRule>
  </conditionalFormatting>
  <conditionalFormatting sqref="D47:D54">
    <cfRule type="containsText" dxfId="0" priority="34" operator="between" text="错误">
      <formula>NOT(ISERROR(SEARCH("错误",D47)))</formula>
    </cfRule>
  </conditionalFormatting>
  <conditionalFormatting sqref="D56:D63">
    <cfRule type="containsText" dxfId="0" priority="32" operator="between" text="错误">
      <formula>NOT(ISERROR(SEARCH("错误",D56)))</formula>
    </cfRule>
  </conditionalFormatting>
  <conditionalFormatting sqref="D65:D72">
    <cfRule type="containsText" dxfId="0" priority="30" operator="between" text="错误">
      <formula>NOT(ISERROR(SEARCH("错误",D65)))</formula>
    </cfRule>
  </conditionalFormatting>
  <conditionalFormatting sqref="D74:D81">
    <cfRule type="containsText" dxfId="0" priority="28" operator="between" text="错误">
      <formula>NOT(ISERROR(SEARCH("错误",D74)))</formula>
    </cfRule>
  </conditionalFormatting>
  <conditionalFormatting sqref="D83:D90">
    <cfRule type="containsText" dxfId="0" priority="26" operator="between" text="错误">
      <formula>NOT(ISERROR(SEARCH("错误",D83)))</formula>
    </cfRule>
  </conditionalFormatting>
  <conditionalFormatting sqref="D92:D99">
    <cfRule type="containsText" dxfId="0" priority="24" operator="between" text="错误">
      <formula>NOT(ISERROR(SEARCH("错误",D92)))</formula>
    </cfRule>
  </conditionalFormatting>
  <conditionalFormatting sqref="D101:D108">
    <cfRule type="containsText" dxfId="0" priority="22" operator="between" text="错误">
      <formula>NOT(ISERROR(SEARCH("错误",D101)))</formula>
    </cfRule>
  </conditionalFormatting>
  <conditionalFormatting sqref="D110:D117">
    <cfRule type="containsText" dxfId="0" priority="20" operator="between" text="错误">
      <formula>NOT(ISERROR(SEARCH("错误",D110)))</formula>
    </cfRule>
  </conditionalFormatting>
  <conditionalFormatting sqref="D119:D126">
    <cfRule type="containsText" dxfId="0" priority="18" operator="between" text="错误">
      <formula>NOT(ISERROR(SEARCH("错误",D119)))</formula>
    </cfRule>
  </conditionalFormatting>
  <conditionalFormatting sqref="D128:D135">
    <cfRule type="containsText" dxfId="0" priority="16" operator="between" text="错误">
      <formula>NOT(ISERROR(SEARCH("错误",D128)))</formula>
    </cfRule>
  </conditionalFormatting>
  <conditionalFormatting sqref="D137:D144">
    <cfRule type="containsText" dxfId="0" priority="14" operator="between" text="错误">
      <formula>NOT(ISERROR(SEARCH("错误",D137)))</formula>
    </cfRule>
  </conditionalFormatting>
  <conditionalFormatting sqref="D146:D153">
    <cfRule type="containsText" dxfId="0" priority="12" operator="between" text="错误">
      <formula>NOT(ISERROR(SEARCH("错误",D146)))</formula>
    </cfRule>
  </conditionalFormatting>
  <conditionalFormatting sqref="D155:D162">
    <cfRule type="containsText" dxfId="0" priority="10" operator="between" text="错误">
      <formula>NOT(ISERROR(SEARCH("错误",D155)))</formula>
    </cfRule>
  </conditionalFormatting>
  <conditionalFormatting sqref="D164:D171">
    <cfRule type="containsText" dxfId="0" priority="8" operator="between" text="错误">
      <formula>NOT(ISERROR(SEARCH("错误",D164)))</formula>
    </cfRule>
  </conditionalFormatting>
  <conditionalFormatting sqref="D173:D180">
    <cfRule type="containsText" dxfId="0" priority="6" operator="between" text="错误">
      <formula>NOT(ISERROR(SEARCH("错误",D173)))</formula>
    </cfRule>
  </conditionalFormatting>
  <conditionalFormatting sqref="D182:D189">
    <cfRule type="containsText" dxfId="0" priority="4" operator="between" text="错误">
      <formula>NOT(ISERROR(SEARCH("错误",D182)))</formula>
    </cfRule>
  </conditionalFormatting>
  <conditionalFormatting sqref="D191:D198">
    <cfRule type="containsText" dxfId="0" priority="2" operator="between" text="错误">
      <formula>NOT(ISERROR(SEARCH("错误",D191)))</formula>
    </cfRule>
  </conditionalFormatting>
  <conditionalFormatting sqref="D3:D10 D200:D1048576">
    <cfRule type="containsText" dxfId="0" priority="83" operator="between" text="错误">
      <formula>NOT(ISERROR(SEARCH("错误",D3)))</formula>
    </cfRule>
  </conditionalFormatting>
  <dataValidations count="2">
    <dataValidation type="list" allowBlank="1" showInputMessage="1" showErrorMessage="1" sqref="F3:F208 H3:I208">
      <formula1>"是,否"</formula1>
    </dataValidation>
    <dataValidation type="list" allowBlank="1" showInputMessage="1" showErrorMessage="1" sqref="C3:C208">
      <formula1>Sheet2!$A$2:$A$14</formula1>
    </dataValidation>
  </dataValidations>
  <pageMargins left="0.75" right="0.75" top="1" bottom="1" header="0.5" footer="0.5"/>
  <pageSetup paperSize="256" orientation="portrait" horizontalDpi="203" verticalDpi="20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workbookViewId="0">
      <pane xSplit="3" ySplit="2" topLeftCell="L12" activePane="bottomRight" state="frozen"/>
      <selection/>
      <selection pane="topRight"/>
      <selection pane="bottomLeft"/>
      <selection pane="bottomRight" activeCell="V47" sqref="V47"/>
    </sheetView>
  </sheetViews>
  <sheetFormatPr defaultColWidth="9" defaultRowHeight="13.5"/>
  <cols>
    <col min="1" max="1" width="13.25" style="22" customWidth="1"/>
    <col min="2" max="2" width="14.25" style="23" customWidth="1"/>
    <col min="3" max="3" width="6.5" style="24" customWidth="1"/>
    <col min="4" max="4" width="7.5" style="25" customWidth="1"/>
    <col min="5" max="5" width="6.5" style="25" customWidth="1"/>
    <col min="6" max="6" width="6.125" style="25" customWidth="1"/>
    <col min="7" max="7" width="6.5" style="25" customWidth="1"/>
    <col min="8" max="8" width="8.5" style="24" customWidth="1"/>
    <col min="9" max="9" width="6.125" style="25" customWidth="1"/>
    <col min="10" max="10" width="9" style="25" customWidth="1"/>
    <col min="11" max="11" width="8.5" style="25" customWidth="1"/>
    <col min="12" max="12" width="9.625" style="24" customWidth="1"/>
    <col min="13" max="13" width="8.96666666666667" style="25" customWidth="1"/>
    <col min="14" max="14" width="8.375" style="24" customWidth="1"/>
    <col min="15" max="17" width="5.25" style="24" customWidth="1"/>
    <col min="18" max="18" width="6.125" style="24" customWidth="1"/>
    <col min="19" max="19" width="18.9666666666667" style="26" customWidth="1"/>
    <col min="20" max="20" width="6.5" style="27" customWidth="1"/>
    <col min="21" max="21" width="8.08333333333333" style="27" customWidth="1"/>
    <col min="22" max="22" width="41.025" customWidth="1"/>
    <col min="23" max="24" width="14.7083333333333" customWidth="1"/>
    <col min="25" max="25" width="22.2083333333333" style="6" customWidth="1"/>
  </cols>
  <sheetData>
    <row r="1" ht="14.25" customHeight="1" spans="1:25">
      <c r="A1" s="28" t="s">
        <v>0</v>
      </c>
      <c r="B1" s="29">
        <v>0.038</v>
      </c>
      <c r="C1" s="30" t="s">
        <v>1</v>
      </c>
      <c r="D1" s="31" t="s">
        <v>2</v>
      </c>
      <c r="E1" s="31" t="s">
        <v>3</v>
      </c>
      <c r="F1" s="31" t="s">
        <v>4</v>
      </c>
      <c r="G1" s="48" t="s">
        <v>5</v>
      </c>
      <c r="H1" s="49" t="s">
        <v>6</v>
      </c>
      <c r="I1" s="31" t="s">
        <v>7</v>
      </c>
      <c r="J1" s="54" t="s">
        <v>8</v>
      </c>
      <c r="K1" s="55" t="s">
        <v>9</v>
      </c>
      <c r="L1" s="55" t="s">
        <v>10</v>
      </c>
      <c r="M1" s="31" t="s">
        <v>11</v>
      </c>
      <c r="N1" s="60" t="s">
        <v>12</v>
      </c>
      <c r="O1" s="61" t="s">
        <v>13</v>
      </c>
      <c r="P1" s="62"/>
      <c r="Q1" s="62"/>
      <c r="R1" s="62"/>
      <c r="S1" s="65"/>
      <c r="T1" s="66" t="s">
        <v>14</v>
      </c>
      <c r="U1" s="66" t="s">
        <v>15</v>
      </c>
      <c r="V1" s="71" t="s">
        <v>16</v>
      </c>
      <c r="W1" s="71" t="s">
        <v>17</v>
      </c>
      <c r="X1" s="71" t="s">
        <v>18</v>
      </c>
      <c r="Y1" s="71" t="s">
        <v>19</v>
      </c>
    </row>
    <row r="2" s="21" customFormat="1" ht="28.5" spans="1:25">
      <c r="A2" s="32" t="s">
        <v>20</v>
      </c>
      <c r="B2" s="33" t="s">
        <v>21</v>
      </c>
      <c r="C2" s="34"/>
      <c r="D2" s="35"/>
      <c r="E2" s="35"/>
      <c r="F2" s="35"/>
      <c r="G2" s="50"/>
      <c r="H2" s="51"/>
      <c r="I2" s="35"/>
      <c r="J2" s="56"/>
      <c r="K2" s="57"/>
      <c r="L2" s="57"/>
      <c r="M2" s="35"/>
      <c r="N2" s="63"/>
      <c r="O2" s="32" t="s">
        <v>22</v>
      </c>
      <c r="P2" s="32" t="s">
        <v>23</v>
      </c>
      <c r="Q2" s="32" t="s">
        <v>24</v>
      </c>
      <c r="R2" s="32" t="s">
        <v>25</v>
      </c>
      <c r="S2" s="67" t="s">
        <v>26</v>
      </c>
      <c r="T2" s="68"/>
      <c r="U2" s="68"/>
      <c r="V2" s="72"/>
      <c r="W2" s="72"/>
      <c r="X2" s="72"/>
      <c r="Y2" s="72"/>
    </row>
    <row r="3" hidden="1" customHeight="1" spans="1:20">
      <c r="A3" s="36" t="s">
        <v>27</v>
      </c>
      <c r="B3" s="37" t="s">
        <v>28</v>
      </c>
      <c r="C3" s="38" t="s">
        <v>29</v>
      </c>
      <c r="D3" s="39">
        <f>IF(S3=Sheet2!$W$4,INDEX(Sheet2!$J$5:$Q$5,1,MATCH('Sheet1 (2)'!C3,Sheet2!$J$3:$Q$3,0)),IF(S3=Sheet2!$W$5,INDEX(Sheet2!$J$6:$Q$8,MATCH('Sheet1 (2)'!R3,Sheet2!$H$6:$H$8,1),MATCH('Sheet1 (2)'!C3,Sheet2!$J$3:$Q$3,0)),IF(S3=Sheet2!$W$6,INDEX(Sheet2!$J$9:$Q$9,1,MATCH('Sheet1 (2)'!C3,Sheet2!$J$3:$Q$3,0)),IF(S3=Sheet2!$W$7,INDEX(Sheet2!$J$10:$Q$24,MATCH('Sheet1 (2)'!R3,Sheet2!$H$10:$H$24,1),MATCH('Sheet1 (2)'!C3,Sheet2!$J$3:$Q$3,0)),"ERR COUNTRY!"))))</f>
        <v>1.79</v>
      </c>
      <c r="E3" s="52">
        <f t="shared" ref="E3:E66" si="0">L3*0.15</f>
        <v>1.4985</v>
      </c>
      <c r="F3" s="53" t="s">
        <v>30</v>
      </c>
      <c r="G3" s="52">
        <f t="shared" ref="G3:G18" si="1">L3-L3/(1+20%)</f>
        <v>1.665</v>
      </c>
      <c r="H3" s="52">
        <f t="shared" ref="H3:H66" si="2">IF(F3="是",IF(I3="是",L3-SUM(D3,E3,G3,J3),L3-SUM(D3,E3,G3)),IF(I3="是",L3-SUM(D3,E3,J3),L3-SUM(D3,E3)))</f>
        <v>3.0385</v>
      </c>
      <c r="I3" s="52" t="s">
        <v>30</v>
      </c>
      <c r="J3" s="52">
        <f>IF(OR(C3=Sheet2!$A$10),0,L3*0.2)</f>
        <v>1.998</v>
      </c>
      <c r="K3" s="52">
        <f t="shared" ref="K3:K66" si="3">H3+J3</f>
        <v>5.0365</v>
      </c>
      <c r="L3" s="58">
        <v>9.99</v>
      </c>
      <c r="M3" s="52">
        <f>R3*$B$1</f>
        <v>3.8</v>
      </c>
      <c r="N3" s="24">
        <v>5.5</v>
      </c>
      <c r="O3" s="24">
        <v>12</v>
      </c>
      <c r="P3" s="24">
        <v>10</v>
      </c>
      <c r="Q3" s="24">
        <v>1.5</v>
      </c>
      <c r="R3" s="24">
        <v>100</v>
      </c>
      <c r="S3" s="26" t="str">
        <f>IF('Sheet1 (2)'!R3+Sheet2!$AB$7&gt;=Sheet2!$AA$7,"超出《标准包裹》重量",IF(AND('Sheet1 (2)'!O3&lt;Sheet2!$X$7,'Sheet1 (2)'!P3&lt;Sheet2!$Y$7,'Sheet1 (2)'!Q3&lt;Sheet2!$Z$7),IF('Sheet1 (2)'!R3+Sheet2!$AB$6&gt;=Sheet2!$AA$6,Sheet2!$W$7,IF(AND('Sheet1 (2)'!O3&lt;Sheet2!$X$6,'Sheet1 (2)'!P3&lt;Sheet2!$Y$6,'Sheet1 (2)'!Q3&lt;Sheet2!$Z$6),IF('Sheet1 (2)'!R3+Sheet2!$AB$5&gt;=Sheet2!$AA$5,Sheet2!$W$6,IF(AND('Sheet1 (2)'!O3&lt;Sheet2!$X$5,'Sheet1 (2)'!P3&lt;Sheet2!$Y$5,'Sheet1 (2)'!Q3&lt;Sheet2!$Z$5),IF('Sheet1 (2)'!R3+Sheet2!$AB$4&gt;=Sheet2!$AA$4,Sheet2!$W$5,IF(AND('Sheet1 (2)'!O3&lt;Sheet2!$X$4,'Sheet1 (2)'!P3&lt;Sheet2!$Y$4,'Sheet1 (2)'!Q3&lt;Sheet2!$Z$4),Sheet2!$W$4,Sheet2!$W$5)),Sheet2!$W$6)),Sheet2!$W$7)),"超出《标准包裹》尺寸"))</f>
        <v>标准信封</v>
      </c>
      <c r="T3" s="69">
        <f>IF(C3=Sheet2!$A$2,H3*VLOOKUP("英镑",Sheet3!$A$10:F$36,2,0)/100-'Sheet1 (2)'!N3-'Sheet1 (2)'!M3,IF(OR(C3=Sheet2!$A$3,C3=Sheet2!$A$4,C3=Sheet2!$A$5,C3=Sheet2!$A$6,C3=Sheet2!$A$7),H3*VLOOKUP("欧元",Sheet3!$A$10:F$36,2,0)/100-'Sheet1 (2)'!N3-'Sheet1 (2)'!M3,IF(C3=Sheet2!$A$8,H3*VLOOKUP("瑞典克朗",Sheet3!$A$10:F$36,2,0)/100-'Sheet1 (2)'!N3-'Sheet1 (2)'!M3,IF(C3=Sheet2!$A$9,H3*173.29/100-'Sheet1 (2)'!N3-'Sheet1 (2)'!M3,"ERR COUNTRY!"))))</f>
        <v>18.2658797</v>
      </c>
    </row>
    <row r="4" hidden="1" customHeight="1" spans="1:20">
      <c r="A4" s="40"/>
      <c r="B4" s="41"/>
      <c r="C4" s="38" t="s">
        <v>31</v>
      </c>
      <c r="D4" s="39">
        <f>IF(S4=Sheet2!$W$4,INDEX(Sheet2!$J$5:$Q$5,1,MATCH('Sheet1 (2)'!C4,Sheet2!$J$3:$Q$3,0)),IF(S4=Sheet2!$W$5,INDEX(Sheet2!$J$6:$Q$8,MATCH('Sheet1 (2)'!R4,Sheet2!$H$6:$H$8,1),MATCH('Sheet1 (2)'!C4,Sheet2!$J$3:$Q$3,0)),IF(S4=Sheet2!$W$6,INDEX(Sheet2!$J$9:$Q$9,1,MATCH('Sheet1 (2)'!C4,Sheet2!$J$3:$Q$3,0)),IF(S4=Sheet2!$W$7,INDEX(Sheet2!$J$10:$Q$24,MATCH('Sheet1 (2)'!R4,Sheet2!$H$10:$H$24,1),MATCH('Sheet1 (2)'!C4,Sheet2!$J$3:$Q$3,0)),"ERR COUNTRY!"))))</f>
        <v>2.37</v>
      </c>
      <c r="E4" s="52">
        <f t="shared" si="0"/>
        <v>1.4985</v>
      </c>
      <c r="F4" s="53" t="s">
        <v>30</v>
      </c>
      <c r="G4" s="52">
        <f t="shared" si="1"/>
        <v>1.665</v>
      </c>
      <c r="H4" s="52">
        <f t="shared" si="2"/>
        <v>2.4585</v>
      </c>
      <c r="I4" s="52" t="s">
        <v>30</v>
      </c>
      <c r="J4" s="52">
        <f>IF(OR(C4=Sheet2!$A$10),0,L4*0.2)</f>
        <v>1.998</v>
      </c>
      <c r="K4" s="52">
        <f t="shared" si="3"/>
        <v>4.4565</v>
      </c>
      <c r="L4" s="58">
        <v>9.99</v>
      </c>
      <c r="M4" s="52">
        <f>R4*$B$1</f>
        <v>3.8</v>
      </c>
      <c r="N4" s="24">
        <v>5.5</v>
      </c>
      <c r="O4" s="24">
        <v>12</v>
      </c>
      <c r="P4" s="24">
        <v>10</v>
      </c>
      <c r="Q4" s="24">
        <v>1.5</v>
      </c>
      <c r="R4" s="24">
        <v>100</v>
      </c>
      <c r="S4" s="26" t="str">
        <f>IF('Sheet1 (2)'!R4+Sheet2!$AB$7&gt;=Sheet2!$AA$7,"超出《标准包裹》重量",IF(AND('Sheet1 (2)'!O4&lt;Sheet2!$X$7,'Sheet1 (2)'!P4&lt;Sheet2!$Y$7,'Sheet1 (2)'!Q4&lt;Sheet2!$Z$7),IF('Sheet1 (2)'!R4+Sheet2!$AB$6&gt;=Sheet2!$AA$6,Sheet2!$W$7,IF(AND('Sheet1 (2)'!O4&lt;Sheet2!$X$6,'Sheet1 (2)'!P4&lt;Sheet2!$Y$6,'Sheet1 (2)'!Q4&lt;Sheet2!$Z$6),IF('Sheet1 (2)'!R4+Sheet2!$AB$5&gt;=Sheet2!$AA$5,Sheet2!$W$6,IF(AND('Sheet1 (2)'!O4&lt;Sheet2!$X$5,'Sheet1 (2)'!P4&lt;Sheet2!$Y$5,'Sheet1 (2)'!Q4&lt;Sheet2!$Z$5),IF('Sheet1 (2)'!R4+Sheet2!$AB$4&gt;=Sheet2!$AA$4,Sheet2!$W$5,IF(AND('Sheet1 (2)'!O4&lt;Sheet2!$X$4,'Sheet1 (2)'!P4&lt;Sheet2!$Y$4,'Sheet1 (2)'!Q4&lt;Sheet2!$Z$4),Sheet2!$W$4,Sheet2!$W$5)),Sheet2!$W$6)),Sheet2!$W$7)),"超出《标准包裹》尺寸"))</f>
        <v>标准信封</v>
      </c>
      <c r="T4" s="69">
        <f>IF(C4=Sheet2!$A$2,H4*VLOOKUP("英镑",Sheet3!$A$10:F$36,2,0)/100-'Sheet1 (2)'!N4-'Sheet1 (2)'!M4,IF(OR(C4=Sheet2!$A$3,C4=Sheet2!$A$4,C4=Sheet2!$A$5,C4=Sheet2!$A$6,C4=Sheet2!$A$7),H4*VLOOKUP("欧元",Sheet3!$A$10:F$36,2,0)/100-'Sheet1 (2)'!N4-'Sheet1 (2)'!M4,IF(C4=Sheet2!$A$8,H4*VLOOKUP("瑞典克朗",Sheet3!$A$10:F$36,2,0)/100-'Sheet1 (2)'!N4-'Sheet1 (2)'!M4,IF(C4=Sheet2!$A$9,H4*173.29/100-'Sheet1 (2)'!N4-'Sheet1 (2)'!M4,"ERR COUNTRY!"))))</f>
        <v>9.89867235000001</v>
      </c>
    </row>
    <row r="5" hidden="1" customHeight="1" spans="1:20">
      <c r="A5" s="40"/>
      <c r="B5" s="41"/>
      <c r="C5" s="38" t="s">
        <v>32</v>
      </c>
      <c r="D5" s="39">
        <f>IF(S5=Sheet2!$W$4,INDEX(Sheet2!$J$5:$Q$5,1,MATCH('Sheet1 (2)'!C5,Sheet2!$J$3:$Q$3,0)),IF(S5=Sheet2!$W$5,INDEX(Sheet2!$J$6:$Q$8,MATCH('Sheet1 (2)'!R5,Sheet2!$H$6:$H$8,1),MATCH('Sheet1 (2)'!C5,Sheet2!$J$3:$Q$3,0)),IF(S5=Sheet2!$W$6,INDEX(Sheet2!$J$9:$Q$9,1,MATCH('Sheet1 (2)'!C5,Sheet2!$J$3:$Q$3,0)),IF(S5=Sheet2!$W$7,INDEX(Sheet2!$J$10:$Q$24,MATCH('Sheet1 (2)'!R5,Sheet2!$H$10:$H$24,1),MATCH('Sheet1 (2)'!C5,Sheet2!$J$3:$Q$3,0)),"ERR COUNTRY!"))))</f>
        <v>3.13</v>
      </c>
      <c r="E5" s="52">
        <f t="shared" si="0"/>
        <v>1.4985</v>
      </c>
      <c r="F5" s="53" t="s">
        <v>30</v>
      </c>
      <c r="G5" s="52">
        <f t="shared" si="1"/>
        <v>1.665</v>
      </c>
      <c r="H5" s="52">
        <f t="shared" si="2"/>
        <v>1.6985</v>
      </c>
      <c r="I5" s="52" t="s">
        <v>30</v>
      </c>
      <c r="J5" s="52">
        <f>IF(OR(C5=Sheet2!$A$10),0,L5*0.2)</f>
        <v>1.998</v>
      </c>
      <c r="K5" s="52">
        <f t="shared" si="3"/>
        <v>3.6965</v>
      </c>
      <c r="L5" s="58">
        <v>9.99</v>
      </c>
      <c r="M5" s="52">
        <f>R5*$B$1</f>
        <v>3.8</v>
      </c>
      <c r="N5" s="24">
        <v>5.5</v>
      </c>
      <c r="O5" s="24">
        <v>12</v>
      </c>
      <c r="P5" s="24">
        <v>10</v>
      </c>
      <c r="Q5" s="24">
        <v>1.5</v>
      </c>
      <c r="R5" s="24">
        <v>100</v>
      </c>
      <c r="S5" s="26" t="str">
        <f>IF('Sheet1 (2)'!R5+Sheet2!$AB$7&gt;=Sheet2!$AA$7,"超出《标准包裹》重量",IF(AND('Sheet1 (2)'!O5&lt;Sheet2!$X$7,'Sheet1 (2)'!P5&lt;Sheet2!$Y$7,'Sheet1 (2)'!Q5&lt;Sheet2!$Z$7),IF('Sheet1 (2)'!R5+Sheet2!$AB$6&gt;=Sheet2!$AA$6,Sheet2!$W$7,IF(AND('Sheet1 (2)'!O5&lt;Sheet2!$X$6,'Sheet1 (2)'!P5&lt;Sheet2!$Y$6,'Sheet1 (2)'!Q5&lt;Sheet2!$Z$6),IF('Sheet1 (2)'!R5+Sheet2!$AB$5&gt;=Sheet2!$AA$5,Sheet2!$W$6,IF(AND('Sheet1 (2)'!O5&lt;Sheet2!$X$5,'Sheet1 (2)'!P5&lt;Sheet2!$Y$5,'Sheet1 (2)'!Q5&lt;Sheet2!$Z$5),IF('Sheet1 (2)'!R5+Sheet2!$AB$4&gt;=Sheet2!$AA$4,Sheet2!$W$5,IF(AND('Sheet1 (2)'!O5&lt;Sheet2!$X$4,'Sheet1 (2)'!P5&lt;Sheet2!$Y$4,'Sheet1 (2)'!Q5&lt;Sheet2!$Z$4),Sheet2!$W$4,Sheet2!$W$5)),Sheet2!$W$6)),Sheet2!$W$7)),"超出《标准包裹》尺寸"))</f>
        <v>标准信封</v>
      </c>
      <c r="T5" s="69">
        <f>IF(C5=Sheet2!$A$2,H5*VLOOKUP("英镑",Sheet3!$A$10:F$36,2,0)/100-'Sheet1 (2)'!N5-'Sheet1 (2)'!M5,IF(OR(C5=Sheet2!$A$3,C5=Sheet2!$A$4,C5=Sheet2!$A$5,C5=Sheet2!$A$6,C5=Sheet2!$A$7),H5*VLOOKUP("欧元",Sheet3!$A$10:F$36,2,0)/100-'Sheet1 (2)'!N5-'Sheet1 (2)'!M5,IF(C5=Sheet2!$A$8,H5*VLOOKUP("瑞典克朗",Sheet3!$A$10:F$36,2,0)/100-'Sheet1 (2)'!N5-'Sheet1 (2)'!M5,IF(C5=Sheet2!$A$9,H5*173.29/100-'Sheet1 (2)'!N5-'Sheet1 (2)'!M5,"ERR COUNTRY!"))))</f>
        <v>3.96375635000001</v>
      </c>
    </row>
    <row r="6" hidden="1" customHeight="1" spans="1:20">
      <c r="A6" s="40"/>
      <c r="B6" s="41"/>
      <c r="C6" s="38" t="s">
        <v>33</v>
      </c>
      <c r="D6" s="39">
        <f>IF(S6=Sheet2!$W$4,INDEX(Sheet2!$J$5:$Q$5,1,MATCH('Sheet1 (2)'!C6,Sheet2!$J$3:$Q$3,0)),IF(S6=Sheet2!$W$5,INDEX(Sheet2!$J$6:$Q$8,MATCH('Sheet1 (2)'!R6,Sheet2!$H$6:$H$8,1),MATCH('Sheet1 (2)'!C6,Sheet2!$J$3:$Q$3,0)),IF(S6=Sheet2!$W$6,INDEX(Sheet2!$J$9:$Q$9,1,MATCH('Sheet1 (2)'!C6,Sheet2!$J$3:$Q$3,0)),IF(S6=Sheet2!$W$7,INDEX(Sheet2!$J$10:$Q$24,MATCH('Sheet1 (2)'!R6,Sheet2!$H$10:$H$24,1),MATCH('Sheet1 (2)'!C6,Sheet2!$J$3:$Q$3,0)),"ERR COUNTRY!"))))</f>
        <v>3.13</v>
      </c>
      <c r="E6" s="52">
        <f t="shared" si="0"/>
        <v>1.4985</v>
      </c>
      <c r="F6" s="53" t="s">
        <v>30</v>
      </c>
      <c r="G6" s="52">
        <f t="shared" si="1"/>
        <v>1.665</v>
      </c>
      <c r="H6" s="52">
        <f t="shared" si="2"/>
        <v>1.6985</v>
      </c>
      <c r="I6" s="52" t="s">
        <v>30</v>
      </c>
      <c r="J6" s="52">
        <f>IF(OR(C6=Sheet2!$A$10),0,L6*0.2)</f>
        <v>1.998</v>
      </c>
      <c r="K6" s="52">
        <f t="shared" si="3"/>
        <v>3.6965</v>
      </c>
      <c r="L6" s="58">
        <v>9.99</v>
      </c>
      <c r="M6" s="52">
        <f>R6*$B$1</f>
        <v>3.8</v>
      </c>
      <c r="N6" s="24">
        <v>5.5</v>
      </c>
      <c r="O6" s="24">
        <v>12</v>
      </c>
      <c r="P6" s="24">
        <v>10</v>
      </c>
      <c r="Q6" s="24">
        <v>1.5</v>
      </c>
      <c r="R6" s="24">
        <v>100</v>
      </c>
      <c r="S6" s="26" t="str">
        <f>IF('Sheet1 (2)'!R6+Sheet2!$AB$7&gt;=Sheet2!$AA$7,"超出《标准包裹》重量",IF(AND('Sheet1 (2)'!O6&lt;Sheet2!$X$7,'Sheet1 (2)'!P6&lt;Sheet2!$Y$7,'Sheet1 (2)'!Q6&lt;Sheet2!$Z$7),IF('Sheet1 (2)'!R6+Sheet2!$AB$6&gt;=Sheet2!$AA$6,Sheet2!$W$7,IF(AND('Sheet1 (2)'!O6&lt;Sheet2!$X$6,'Sheet1 (2)'!P6&lt;Sheet2!$Y$6,'Sheet1 (2)'!Q6&lt;Sheet2!$Z$6),IF('Sheet1 (2)'!R6+Sheet2!$AB$5&gt;=Sheet2!$AA$5,Sheet2!$W$6,IF(AND('Sheet1 (2)'!O6&lt;Sheet2!$X$5,'Sheet1 (2)'!P6&lt;Sheet2!$Y$5,'Sheet1 (2)'!Q6&lt;Sheet2!$Z$5),IF('Sheet1 (2)'!R6+Sheet2!$AB$4&gt;=Sheet2!$AA$4,Sheet2!$W$5,IF(AND('Sheet1 (2)'!O6&lt;Sheet2!$X$4,'Sheet1 (2)'!P6&lt;Sheet2!$Y$4,'Sheet1 (2)'!Q6&lt;Sheet2!$Z$4),Sheet2!$W$4,Sheet2!$W$5)),Sheet2!$W$6)),Sheet2!$W$7)),"超出《标准包裹》尺寸"))</f>
        <v>标准信封</v>
      </c>
      <c r="T6" s="69">
        <f>IF(C6=Sheet2!$A$2,H6*VLOOKUP("英镑",Sheet3!$A$10:F$36,2,0)/100-'Sheet1 (2)'!N6-'Sheet1 (2)'!M6,IF(OR(C6=Sheet2!$A$3,C6=Sheet2!$A$4,C6=Sheet2!$A$5,C6=Sheet2!$A$6,C6=Sheet2!$A$7),H6*VLOOKUP("欧元",Sheet3!$A$10:F$36,2,0)/100-'Sheet1 (2)'!N6-'Sheet1 (2)'!M6,IF(C6=Sheet2!$A$8,H6*VLOOKUP("瑞典克朗",Sheet3!$A$10:F$36,2,0)/100-'Sheet1 (2)'!N6-'Sheet1 (2)'!M6,IF(C6=Sheet2!$A$9,H6*173.29/100-'Sheet1 (2)'!N6-'Sheet1 (2)'!M6,"ERR COUNTRY!"))))</f>
        <v>3.96375635000001</v>
      </c>
    </row>
    <row r="7" hidden="1" customHeight="1" spans="1:20">
      <c r="A7" s="40"/>
      <c r="B7" s="41"/>
      <c r="C7" s="38" t="s">
        <v>34</v>
      </c>
      <c r="D7" s="39">
        <f>IF(S7=Sheet2!$W$4,INDEX(Sheet2!$J$5:$Q$5,1,MATCH('Sheet1 (2)'!C7,Sheet2!$J$3:$Q$3,0)),IF(S7=Sheet2!$W$5,INDEX(Sheet2!$J$6:$Q$8,MATCH('Sheet1 (2)'!R7,Sheet2!$H$6:$H$8,1),MATCH('Sheet1 (2)'!C7,Sheet2!$J$3:$Q$3,0)),IF(S7=Sheet2!$W$6,INDEX(Sheet2!$J$9:$Q$9,1,MATCH('Sheet1 (2)'!C7,Sheet2!$J$3:$Q$3,0)),IF(S7=Sheet2!$W$7,INDEX(Sheet2!$J$10:$Q$24,MATCH('Sheet1 (2)'!R7,Sheet2!$H$10:$H$24,1),MATCH('Sheet1 (2)'!C7,Sheet2!$J$3:$Q$3,0)),"ERR COUNTRY!"))))</f>
        <v>2.96</v>
      </c>
      <c r="E7" s="52">
        <f t="shared" si="0"/>
        <v>1.4985</v>
      </c>
      <c r="F7" s="53" t="s">
        <v>30</v>
      </c>
      <c r="G7" s="52">
        <f t="shared" si="1"/>
        <v>1.665</v>
      </c>
      <c r="H7" s="52">
        <f t="shared" si="2"/>
        <v>1.8685</v>
      </c>
      <c r="I7" s="52" t="s">
        <v>30</v>
      </c>
      <c r="J7" s="52">
        <f>IF(OR(C7=Sheet2!$A$10),0,L7*0.2)</f>
        <v>1.998</v>
      </c>
      <c r="K7" s="52">
        <f t="shared" si="3"/>
        <v>3.8665</v>
      </c>
      <c r="L7" s="58">
        <v>9.99</v>
      </c>
      <c r="M7" s="52">
        <f>R7*$B$1</f>
        <v>3.8</v>
      </c>
      <c r="N7" s="24">
        <v>5.5</v>
      </c>
      <c r="O7" s="24">
        <v>12</v>
      </c>
      <c r="P7" s="24">
        <v>10</v>
      </c>
      <c r="Q7" s="24">
        <v>1.5</v>
      </c>
      <c r="R7" s="24">
        <v>100</v>
      </c>
      <c r="S7" s="26" t="str">
        <f>IF('Sheet1 (2)'!R7+Sheet2!$AB$7&gt;=Sheet2!$AA$7,"超出《标准包裹》重量",IF(AND('Sheet1 (2)'!O7&lt;Sheet2!$X$7,'Sheet1 (2)'!P7&lt;Sheet2!$Y$7,'Sheet1 (2)'!Q7&lt;Sheet2!$Z$7),IF('Sheet1 (2)'!R7+Sheet2!$AB$6&gt;=Sheet2!$AA$6,Sheet2!$W$7,IF(AND('Sheet1 (2)'!O7&lt;Sheet2!$X$6,'Sheet1 (2)'!P7&lt;Sheet2!$Y$6,'Sheet1 (2)'!Q7&lt;Sheet2!$Z$6),IF('Sheet1 (2)'!R7+Sheet2!$AB$5&gt;=Sheet2!$AA$5,Sheet2!$W$6,IF(AND('Sheet1 (2)'!O7&lt;Sheet2!$X$5,'Sheet1 (2)'!P7&lt;Sheet2!$Y$5,'Sheet1 (2)'!Q7&lt;Sheet2!$Z$5),IF('Sheet1 (2)'!R7+Sheet2!$AB$4&gt;=Sheet2!$AA$4,Sheet2!$W$5,IF(AND('Sheet1 (2)'!O7&lt;Sheet2!$X$4,'Sheet1 (2)'!P7&lt;Sheet2!$Y$4,'Sheet1 (2)'!Q7&lt;Sheet2!$Z$4),Sheet2!$W$4,Sheet2!$W$5)),Sheet2!$W$6)),Sheet2!$W$7)),"超出《标准包裹》尺寸"))</f>
        <v>标准信封</v>
      </c>
      <c r="T7" s="69">
        <f>IF(C7=Sheet2!$A$2,H7*VLOOKUP("英镑",Sheet3!$A$10:F$36,2,0)/100-'Sheet1 (2)'!N7-'Sheet1 (2)'!M7,IF(OR(C7=Sheet2!$A$3,C7=Sheet2!$A$4,C7=Sheet2!$A$5,C7=Sheet2!$A$6,C7=Sheet2!$A$7),H7*VLOOKUP("欧元",Sheet3!$A$10:F$36,2,0)/100-'Sheet1 (2)'!N7-'Sheet1 (2)'!M7,IF(C7=Sheet2!$A$8,H7*VLOOKUP("瑞典克朗",Sheet3!$A$10:F$36,2,0)/100-'Sheet1 (2)'!N7-'Sheet1 (2)'!M7,IF(C7=Sheet2!$A$9,H7*173.29/100-'Sheet1 (2)'!N7-'Sheet1 (2)'!M7,"ERR COUNTRY!"))))</f>
        <v>5.29130335000001</v>
      </c>
    </row>
    <row r="8" hidden="1" customHeight="1" spans="1:20">
      <c r="A8" s="40"/>
      <c r="B8" s="41"/>
      <c r="C8" s="38" t="s">
        <v>35</v>
      </c>
      <c r="D8" s="39">
        <f>IF(S8=Sheet2!$W$4,INDEX(Sheet2!$J$5:$Q$5,1,MATCH('Sheet1 (2)'!C8,Sheet2!$J$3:$Q$3,0)),IF(S8=Sheet2!$W$5,INDEX(Sheet2!$J$6:$Q$8,MATCH('Sheet1 (2)'!R8,Sheet2!$H$6:$H$8,1),MATCH('Sheet1 (2)'!C8,Sheet2!$J$3:$Q$3,0)),IF(S8=Sheet2!$W$6,INDEX(Sheet2!$J$9:$Q$9,1,MATCH('Sheet1 (2)'!C8,Sheet2!$J$3:$Q$3,0)),IF(S8=Sheet2!$W$7,INDEX(Sheet2!$J$10:$Q$24,MATCH('Sheet1 (2)'!R8,Sheet2!$H$10:$H$24,1),MATCH('Sheet1 (2)'!C8,Sheet2!$J$3:$Q$3,0)),"ERR COUNTRY!"))))</f>
        <v>1.99</v>
      </c>
      <c r="E8" s="52">
        <f t="shared" si="0"/>
        <v>1.4985</v>
      </c>
      <c r="F8" s="53" t="s">
        <v>30</v>
      </c>
      <c r="G8" s="52">
        <f t="shared" si="1"/>
        <v>1.665</v>
      </c>
      <c r="H8" s="52">
        <f t="shared" si="2"/>
        <v>2.8385</v>
      </c>
      <c r="I8" s="52" t="s">
        <v>30</v>
      </c>
      <c r="J8" s="52">
        <f>IF(OR(C8=Sheet2!$A$10),0,L8*0.2)</f>
        <v>1.998</v>
      </c>
      <c r="K8" s="52">
        <f t="shared" si="3"/>
        <v>4.8365</v>
      </c>
      <c r="L8" s="58">
        <v>9.99</v>
      </c>
      <c r="M8" s="52">
        <f>R8*$B$1</f>
        <v>3.8</v>
      </c>
      <c r="N8" s="24">
        <v>5.5</v>
      </c>
      <c r="O8" s="24">
        <v>12</v>
      </c>
      <c r="P8" s="24">
        <v>10</v>
      </c>
      <c r="Q8" s="24">
        <v>1.5</v>
      </c>
      <c r="R8" s="24">
        <v>100</v>
      </c>
      <c r="S8" s="26" t="str">
        <f>IF('Sheet1 (2)'!R8+Sheet2!$AB$7&gt;=Sheet2!$AA$7,"超出《标准包裹》重量",IF(AND('Sheet1 (2)'!O8&lt;Sheet2!$X$7,'Sheet1 (2)'!P8&lt;Sheet2!$Y$7,'Sheet1 (2)'!Q8&lt;Sheet2!$Z$7),IF('Sheet1 (2)'!R8+Sheet2!$AB$6&gt;=Sheet2!$AA$6,Sheet2!$W$7,IF(AND('Sheet1 (2)'!O8&lt;Sheet2!$X$6,'Sheet1 (2)'!P8&lt;Sheet2!$Y$6,'Sheet1 (2)'!Q8&lt;Sheet2!$Z$6),IF('Sheet1 (2)'!R8+Sheet2!$AB$5&gt;=Sheet2!$AA$5,Sheet2!$W$6,IF(AND('Sheet1 (2)'!O8&lt;Sheet2!$X$5,'Sheet1 (2)'!P8&lt;Sheet2!$Y$5,'Sheet1 (2)'!Q8&lt;Sheet2!$Z$5),IF('Sheet1 (2)'!R8+Sheet2!$AB$4&gt;=Sheet2!$AA$4,Sheet2!$W$5,IF(AND('Sheet1 (2)'!O8&lt;Sheet2!$X$4,'Sheet1 (2)'!P8&lt;Sheet2!$Y$4,'Sheet1 (2)'!Q8&lt;Sheet2!$Z$4),Sheet2!$W$4,Sheet2!$W$5)),Sheet2!$W$6)),Sheet2!$W$7)),"超出《标准包裹》尺寸"))</f>
        <v>标准信封</v>
      </c>
      <c r="T8" s="69">
        <f>IF(C8=Sheet2!$A$2,H8*VLOOKUP("英镑",Sheet3!$A$10:F$36,2,0)/100-'Sheet1 (2)'!N8-'Sheet1 (2)'!M8,IF(OR(C8=Sheet2!$A$3,C8=Sheet2!$A$4,C8=Sheet2!$A$5,C8=Sheet2!$A$6,C8=Sheet2!$A$7),H8*VLOOKUP("欧元",Sheet3!$A$10:F$36,2,0)/100-'Sheet1 (2)'!N8-'Sheet1 (2)'!M8,IF(C8=Sheet2!$A$8,H8*VLOOKUP("瑞典克朗",Sheet3!$A$10:F$36,2,0)/100-'Sheet1 (2)'!N8-'Sheet1 (2)'!M8,IF(C8=Sheet2!$A$9,H8*173.29/100-'Sheet1 (2)'!N8-'Sheet1 (2)'!M8,"ERR COUNTRY!"))))</f>
        <v>12.86613035</v>
      </c>
    </row>
    <row r="9" hidden="1" customHeight="1" spans="1:20">
      <c r="A9" s="40"/>
      <c r="B9" s="41"/>
      <c r="C9" s="38" t="s">
        <v>36</v>
      </c>
      <c r="D9" s="39">
        <f>IF(S9=Sheet2!$W$4,INDEX(Sheet2!$J$5:$Q$5,1,MATCH('Sheet1 (2)'!C9,Sheet2!$J$3:$Q$3,0)),IF(S9=Sheet2!$W$5,INDEX(Sheet2!$J$6:$Q$8,MATCH('Sheet1 (2)'!R9,Sheet2!$H$6:$H$8,1),MATCH('Sheet1 (2)'!C9,Sheet2!$J$3:$Q$3,0)),IF(S9=Sheet2!$W$6,INDEX(Sheet2!$J$9:$Q$9,1,MATCH('Sheet1 (2)'!C9,Sheet2!$J$3:$Q$3,0)),IF(S9=Sheet2!$W$7,INDEX(Sheet2!$J$10:$Q$24,MATCH('Sheet1 (2)'!R9,Sheet2!$H$10:$H$24,1),MATCH('Sheet1 (2)'!C9,Sheet2!$J$3:$Q$3,0)),"ERR COUNTRY!"))))</f>
        <v>27.92</v>
      </c>
      <c r="E9" s="52">
        <f t="shared" si="0"/>
        <v>15</v>
      </c>
      <c r="F9" s="53" t="s">
        <v>30</v>
      </c>
      <c r="G9" s="52">
        <f t="shared" si="1"/>
        <v>16.6666666666667</v>
      </c>
      <c r="H9" s="52">
        <f t="shared" si="2"/>
        <v>20.4133333333333</v>
      </c>
      <c r="I9" s="52" t="s">
        <v>30</v>
      </c>
      <c r="J9" s="52">
        <f>IF(OR(C9=Sheet2!$A$10),0,L9*0.2)</f>
        <v>20</v>
      </c>
      <c r="K9" s="52">
        <f t="shared" si="3"/>
        <v>40.4133333333333</v>
      </c>
      <c r="L9" s="58">
        <v>100</v>
      </c>
      <c r="M9" s="52">
        <f>R9*$B$1</f>
        <v>3.8</v>
      </c>
      <c r="N9" s="24">
        <v>5.5</v>
      </c>
      <c r="O9" s="24">
        <v>12</v>
      </c>
      <c r="P9" s="24">
        <v>10</v>
      </c>
      <c r="Q9" s="24">
        <v>1.5</v>
      </c>
      <c r="R9" s="24">
        <v>100</v>
      </c>
      <c r="S9" s="26" t="str">
        <f>IF('Sheet1 (2)'!R9+Sheet2!$AB$7&gt;=Sheet2!$AA$7,"超出《标准包裹》重量",IF(AND('Sheet1 (2)'!O9&lt;Sheet2!$X$7,'Sheet1 (2)'!P9&lt;Sheet2!$Y$7,'Sheet1 (2)'!Q9&lt;Sheet2!$Z$7),IF('Sheet1 (2)'!R9+Sheet2!$AB$6&gt;=Sheet2!$AA$6,Sheet2!$W$7,IF(AND('Sheet1 (2)'!O9&lt;Sheet2!$X$6,'Sheet1 (2)'!P9&lt;Sheet2!$Y$6,'Sheet1 (2)'!Q9&lt;Sheet2!$Z$6),IF('Sheet1 (2)'!R9+Sheet2!$AB$5&gt;=Sheet2!$AA$5,Sheet2!$W$6,IF(AND('Sheet1 (2)'!O9&lt;Sheet2!$X$5,'Sheet1 (2)'!P9&lt;Sheet2!$Y$5,'Sheet1 (2)'!Q9&lt;Sheet2!$Z$5),IF('Sheet1 (2)'!R9+Sheet2!$AB$4&gt;=Sheet2!$AA$4,Sheet2!$W$5,IF(AND('Sheet1 (2)'!O9&lt;Sheet2!$X$4,'Sheet1 (2)'!P9&lt;Sheet2!$Y$4,'Sheet1 (2)'!Q9&lt;Sheet2!$Z$4),Sheet2!$W$4,Sheet2!$W$5)),Sheet2!$W$6)),Sheet2!$W$7)),"超出《标准包裹》尺寸"))</f>
        <v>标准信封</v>
      </c>
      <c r="T9" s="69">
        <f>IF(C9=Sheet2!$A$2,H9*VLOOKUP("英镑",Sheet3!$A$10:F$36,2,0)/100-'Sheet1 (2)'!N9-'Sheet1 (2)'!M9,IF(OR(C9=Sheet2!$A$3,C9=Sheet2!$A$4,C9=Sheet2!$A$5,C9=Sheet2!$A$6,C9=Sheet2!$A$7),H9*VLOOKUP("欧元",Sheet3!$A$10:F$36,2,0)/100-'Sheet1 (2)'!N9-'Sheet1 (2)'!M9,IF(C9=Sheet2!$A$8,H9*VLOOKUP("瑞典克朗",Sheet3!$A$10:F$36,2,0)/100-'Sheet1 (2)'!N9-'Sheet1 (2)'!M9,IF(C9=Sheet2!$A$9,H9*173.29/100-'Sheet1 (2)'!N9-'Sheet1 (2)'!M9,"ERR COUNTRY!"))))</f>
        <v>6.40397733333334</v>
      </c>
    </row>
    <row r="10" hidden="1" customHeight="1" spans="1:20">
      <c r="A10" s="42"/>
      <c r="B10" s="41"/>
      <c r="C10" s="38" t="s">
        <v>37</v>
      </c>
      <c r="D10" s="39">
        <f>IF(S10=Sheet2!$W$4,INDEX(Sheet2!$J$5:$Q$5,1,MATCH('Sheet1 (2)'!C10,Sheet2!$J$3:$Q$3,0)),IF(S10=Sheet2!$W$5,INDEX(Sheet2!$J$6:$Q$8,MATCH('Sheet1 (2)'!R10,Sheet2!$H$6:$H$8,1),MATCH('Sheet1 (2)'!C10,Sheet2!$J$3:$Q$3,0)),IF(S10=Sheet2!$W$6,INDEX(Sheet2!$J$9:$Q$9,1,MATCH('Sheet1 (2)'!C10,Sheet2!$J$3:$Q$3,0)),IF(S10=Sheet2!$W$7,INDEX(Sheet2!$J$10:$Q$24,MATCH('Sheet1 (2)'!R10,Sheet2!$H$10:$H$24,1),MATCH('Sheet1 (2)'!C10,Sheet2!$J$3:$Q$3,0)),"ERR COUNTRY!"))))</f>
        <v>4.66</v>
      </c>
      <c r="E10" s="52">
        <f t="shared" si="0"/>
        <v>1.4985</v>
      </c>
      <c r="F10" s="53" t="s">
        <v>30</v>
      </c>
      <c r="G10" s="52">
        <f t="shared" si="1"/>
        <v>1.665</v>
      </c>
      <c r="H10" s="52">
        <f t="shared" si="2"/>
        <v>0.1685</v>
      </c>
      <c r="I10" s="52" t="s">
        <v>30</v>
      </c>
      <c r="J10" s="52">
        <f>IF(OR(C10=Sheet2!$A$10),0,L10*0.2)</f>
        <v>1.998</v>
      </c>
      <c r="K10" s="52">
        <f t="shared" si="3"/>
        <v>2.1665</v>
      </c>
      <c r="L10" s="58">
        <v>9.99</v>
      </c>
      <c r="M10" s="52">
        <f>R10*$B$1</f>
        <v>3.8</v>
      </c>
      <c r="N10" s="24">
        <v>5.5</v>
      </c>
      <c r="O10" s="24">
        <v>12</v>
      </c>
      <c r="P10" s="24">
        <v>10</v>
      </c>
      <c r="Q10" s="24">
        <v>1.5</v>
      </c>
      <c r="R10" s="24">
        <v>100</v>
      </c>
      <c r="S10" s="26" t="str">
        <f>IF('Sheet1 (2)'!R10+Sheet2!$AB$7&gt;=Sheet2!$AA$7,"超出《标准包裹》重量",IF(AND('Sheet1 (2)'!O10&lt;Sheet2!$X$7,'Sheet1 (2)'!P10&lt;Sheet2!$Y$7,'Sheet1 (2)'!Q10&lt;Sheet2!$Z$7),IF('Sheet1 (2)'!R10+Sheet2!$AB$6&gt;=Sheet2!$AA$6,Sheet2!$W$7,IF(AND('Sheet1 (2)'!O10&lt;Sheet2!$X$6,'Sheet1 (2)'!P10&lt;Sheet2!$Y$6,'Sheet1 (2)'!Q10&lt;Sheet2!$Z$6),IF('Sheet1 (2)'!R10+Sheet2!$AB$5&gt;=Sheet2!$AA$5,Sheet2!$W$6,IF(AND('Sheet1 (2)'!O10&lt;Sheet2!$X$5,'Sheet1 (2)'!P10&lt;Sheet2!$Y$5,'Sheet1 (2)'!Q10&lt;Sheet2!$Z$5),IF('Sheet1 (2)'!R10+Sheet2!$AB$4&gt;=Sheet2!$AA$4,Sheet2!$W$5,IF(AND('Sheet1 (2)'!O10&lt;Sheet2!$X$4,'Sheet1 (2)'!P10&lt;Sheet2!$Y$4,'Sheet1 (2)'!Q10&lt;Sheet2!$Z$4),Sheet2!$W$4,Sheet2!$W$5)),Sheet2!$W$6)),Sheet2!$W$7)),"超出《标准包裹》尺寸"))</f>
        <v>标准信封</v>
      </c>
      <c r="T10" s="69">
        <f>IF(C10=Sheet2!$A$2,H10*VLOOKUP("英镑",Sheet3!$A$10:F$36,2,0)/100-'Sheet1 (2)'!N10-'Sheet1 (2)'!M10,IF(OR(C10=Sheet2!$A$3,C10=Sheet2!$A$4,C10=Sheet2!$A$5,C10=Sheet2!$A$6,C10=Sheet2!$A$7),H10*VLOOKUP("欧元",Sheet3!$A$10:F$36,2,0)/100-'Sheet1 (2)'!N10-'Sheet1 (2)'!M10,IF(C10=Sheet2!$A$8,H10*VLOOKUP("瑞典克朗",Sheet3!$A$10:F$36,2,0)/100-'Sheet1 (2)'!N10-'Sheet1 (2)'!M10,IF(C10=Sheet2!$A$9,H10*173.29/100-'Sheet1 (2)'!N10-'Sheet1 (2)'!M10,"ERR COUNTRY!"))))</f>
        <v>-9.00800635</v>
      </c>
    </row>
    <row r="11" ht="15" customHeight="1" spans="1:25">
      <c r="A11" s="43" t="s">
        <v>45</v>
      </c>
      <c r="B11" s="44"/>
      <c r="C11" s="45" t="s">
        <v>29</v>
      </c>
      <c r="D11" s="39">
        <f>IF(S11=Sheet2!$W$4,INDEX(Sheet2!$J$5:$Q$5,1,MATCH('Sheet1 (2)'!C11,Sheet2!$J$3:$Q$3,0)),IF(S11=Sheet2!$W$5,INDEX(Sheet2!$J$6:$Q$8,MATCH('Sheet1 (2)'!R11,Sheet2!$H$6:$H$8,1),MATCH('Sheet1 (2)'!C11,Sheet2!$J$3:$Q$3,0)),IF(S11=Sheet2!$W$6,INDEX(Sheet2!$J$9:$Q$9,1,MATCH('Sheet1 (2)'!C11,Sheet2!$J$3:$Q$3,0)),IF(S11=Sheet2!$W$7,INDEX(Sheet2!$J$10:$Q$24,MATCH('Sheet1 (2)'!R11,Sheet2!$H$10:$H$24,1),MATCH('Sheet1 (2)'!C11,Sheet2!$J$3:$Q$3,0)),"ERR COUNTRY!"))))</f>
        <v>2.77</v>
      </c>
      <c r="E11" s="52">
        <f t="shared" si="0"/>
        <v>2.5485</v>
      </c>
      <c r="F11" s="53" t="s">
        <v>30</v>
      </c>
      <c r="G11" s="52">
        <f t="shared" si="1"/>
        <v>2.83166666666667</v>
      </c>
      <c r="H11" s="52">
        <f t="shared" si="2"/>
        <v>6.83983333333333</v>
      </c>
      <c r="I11" s="52" t="s">
        <v>30</v>
      </c>
      <c r="J11" s="52">
        <v>2</v>
      </c>
      <c r="K11" s="52">
        <f t="shared" si="3"/>
        <v>8.83983333333333</v>
      </c>
      <c r="L11" s="58">
        <v>16.99</v>
      </c>
      <c r="M11" s="52">
        <f>R11*$B$1</f>
        <v>11.4</v>
      </c>
      <c r="N11" s="24">
        <v>37</v>
      </c>
      <c r="O11" s="24">
        <v>10</v>
      </c>
      <c r="P11" s="24">
        <v>10</v>
      </c>
      <c r="Q11" s="24">
        <v>10</v>
      </c>
      <c r="R11" s="24">
        <v>300</v>
      </c>
      <c r="S11" s="26" t="str">
        <f>IF('Sheet1 (2)'!R11+Sheet2!$AB$7&gt;=Sheet2!$AA$7,"超出《标准包裹》重量",IF(AND('Sheet1 (2)'!O11&lt;Sheet2!$X$7,'Sheet1 (2)'!P11&lt;Sheet2!$Y$7,'Sheet1 (2)'!Q11&lt;Sheet2!$Z$7),IF('Sheet1 (2)'!R11+Sheet2!$AB$6&gt;=Sheet2!$AA$6,Sheet2!$W$7,IF(AND('Sheet1 (2)'!O11&lt;Sheet2!$X$6,'Sheet1 (2)'!P11&lt;Sheet2!$Y$6,'Sheet1 (2)'!Q11&lt;Sheet2!$Z$6),IF('Sheet1 (2)'!R11+Sheet2!$AB$5&gt;=Sheet2!$AA$5,Sheet2!$W$6,IF(AND('Sheet1 (2)'!O11&lt;Sheet2!$X$5,'Sheet1 (2)'!P11&lt;Sheet2!$Y$5,'Sheet1 (2)'!Q11&lt;Sheet2!$Z$5),IF('Sheet1 (2)'!R11+Sheet2!$AB$4&gt;=Sheet2!$AA$4,Sheet2!$W$5,IF(AND('Sheet1 (2)'!O11&lt;Sheet2!$X$4,'Sheet1 (2)'!P11&lt;Sheet2!$Y$4,'Sheet1 (2)'!Q11&lt;Sheet2!$Z$4),Sheet2!$W$4,Sheet2!$W$5)),Sheet2!$W$6)),Sheet2!$W$7)),"超出《标准包裹》尺寸"))</f>
        <v>标准包裹</v>
      </c>
      <c r="T11" s="69">
        <f>H11*8.3-N11-M11</f>
        <v>8.37061666666667</v>
      </c>
      <c r="U11" s="73">
        <f>T11/(L11*8.3)*100%</f>
        <v>0.0593589189010309</v>
      </c>
      <c r="W11" s="74"/>
      <c r="X11" s="74"/>
      <c r="Y11" s="76"/>
    </row>
    <row r="12" ht="15" customHeight="1" spans="1:25">
      <c r="A12" s="46"/>
      <c r="B12" s="47"/>
      <c r="C12" s="45" t="s">
        <v>31</v>
      </c>
      <c r="D12" s="39">
        <f>IF(S12=Sheet2!$W$4,INDEX(Sheet2!$J$5:$Q$5,1,MATCH('Sheet1 (2)'!C12,Sheet2!$J$3:$Q$3,0)),IF(S12=Sheet2!$W$5,INDEX(Sheet2!$J$6:$Q$8,MATCH('Sheet1 (2)'!R12,Sheet2!$H$6:$H$8,1),MATCH('Sheet1 (2)'!C12,Sheet2!$J$3:$Q$3,0)),IF(S12=Sheet2!$W$6,INDEX(Sheet2!$J$9:$Q$9,1,MATCH('Sheet1 (2)'!C12,Sheet2!$J$3:$Q$3,0)),IF(S12=Sheet2!$W$7,INDEX(Sheet2!$J$10:$Q$24,MATCH('Sheet1 (2)'!R12,Sheet2!$H$10:$H$24,1),MATCH('Sheet1 (2)'!C12,Sheet2!$J$3:$Q$3,0)),"ERR COUNTRY!"))))</f>
        <v>3.73</v>
      </c>
      <c r="E12" s="52">
        <f t="shared" si="0"/>
        <v>1.9485</v>
      </c>
      <c r="F12" s="53" t="s">
        <v>30</v>
      </c>
      <c r="G12" s="52">
        <f t="shared" si="1"/>
        <v>2.165</v>
      </c>
      <c r="H12" s="52">
        <f t="shared" si="2"/>
        <v>3.1465</v>
      </c>
      <c r="I12" s="52" t="s">
        <v>30</v>
      </c>
      <c r="J12" s="52">
        <v>2</v>
      </c>
      <c r="K12" s="52">
        <f t="shared" si="3"/>
        <v>5.1465</v>
      </c>
      <c r="L12" s="58">
        <v>12.99</v>
      </c>
      <c r="M12" s="52">
        <f>R12*$B$1</f>
        <v>10.64</v>
      </c>
      <c r="N12" s="24">
        <v>8.46</v>
      </c>
      <c r="O12" s="24">
        <v>8</v>
      </c>
      <c r="P12" s="24">
        <v>5</v>
      </c>
      <c r="Q12" s="24">
        <v>5</v>
      </c>
      <c r="R12" s="24">
        <v>280</v>
      </c>
      <c r="S12" s="26" t="str">
        <f>IF('Sheet1 (2)'!R12+Sheet2!$AB$7&gt;=Sheet2!$AA$7,"超出《标准包裹》重量",IF(AND('Sheet1 (2)'!O12&lt;Sheet2!$X$7,'Sheet1 (2)'!P12&lt;Sheet2!$Y$7,'Sheet1 (2)'!Q12&lt;Sheet2!$Z$7),IF('Sheet1 (2)'!R12+Sheet2!$AB$6&gt;=Sheet2!$AA$6,Sheet2!$W$7,IF(AND('Sheet1 (2)'!O12&lt;Sheet2!$X$6,'Sheet1 (2)'!P12&lt;Sheet2!$Y$6,'Sheet1 (2)'!Q12&lt;Sheet2!$Z$6),IF('Sheet1 (2)'!R12+Sheet2!$AB$5&gt;=Sheet2!$AA$5,Sheet2!$W$6,IF(AND('Sheet1 (2)'!O12&lt;Sheet2!$X$5,'Sheet1 (2)'!P12&lt;Sheet2!$Y$5,'Sheet1 (2)'!Q12&lt;Sheet2!$Z$5),IF('Sheet1 (2)'!R12+Sheet2!$AB$4&gt;=Sheet2!$AA$4,Sheet2!$W$5,IF(AND('Sheet1 (2)'!O12&lt;Sheet2!$X$4,'Sheet1 (2)'!P12&lt;Sheet2!$Y$4,'Sheet1 (2)'!Q12&lt;Sheet2!$Z$4),Sheet2!$W$4,Sheet2!$W$5)),Sheet2!$W$6)),Sheet2!$W$7)),"超出《标准包裹》尺寸"))</f>
        <v>标准包裹</v>
      </c>
      <c r="T12" s="69">
        <f t="shared" ref="T12:T16" si="4">H12*7-N12-M12</f>
        <v>2.92550000000001</v>
      </c>
      <c r="U12" s="73">
        <f t="shared" ref="U12:U16" si="5">T12/(L12*7)*100%</f>
        <v>0.0321731001869571</v>
      </c>
      <c r="X12" s="74"/>
      <c r="Y12" s="76"/>
    </row>
    <row r="13" ht="15" customHeight="1" spans="1:25">
      <c r="A13" s="46"/>
      <c r="B13" s="47"/>
      <c r="C13" s="45" t="s">
        <v>32</v>
      </c>
      <c r="D13" s="39">
        <f>IF(S13=Sheet2!$W$4,INDEX(Sheet2!$J$5:$Q$5,1,MATCH('Sheet1 (2)'!C13,Sheet2!$J$3:$Q$3,0)),IF(S13=Sheet2!$W$5,INDEX(Sheet2!$J$6:$Q$8,MATCH('Sheet1 (2)'!R13,Sheet2!$H$6:$H$8,1),MATCH('Sheet1 (2)'!C13,Sheet2!$J$3:$Q$3,0)),IF(S13=Sheet2!$W$6,INDEX(Sheet2!$J$9:$Q$9,1,MATCH('Sheet1 (2)'!C13,Sheet2!$J$3:$Q$3,0)),IF(S13=Sheet2!$W$7,INDEX(Sheet2!$J$10:$Q$24,MATCH('Sheet1 (2)'!R13,Sheet2!$H$10:$H$24,1),MATCH('Sheet1 (2)'!C13,Sheet2!$J$3:$Q$3,0)),"ERR COUNTRY!"))))</f>
        <v>6.14</v>
      </c>
      <c r="E13" s="52">
        <f t="shared" si="0"/>
        <v>2.3955</v>
      </c>
      <c r="F13" s="53" t="s">
        <v>30</v>
      </c>
      <c r="G13" s="52">
        <f t="shared" si="1"/>
        <v>2.66166666666667</v>
      </c>
      <c r="H13" s="52">
        <f t="shared" si="2"/>
        <v>1.57883333333333</v>
      </c>
      <c r="I13" s="52" t="s">
        <v>30</v>
      </c>
      <c r="J13" s="52">
        <f>IF(OR(C13=Sheet2!$A$10),0,L13*0.2)</f>
        <v>3.194</v>
      </c>
      <c r="K13" s="52">
        <f t="shared" si="3"/>
        <v>4.77283333333333</v>
      </c>
      <c r="L13" s="58">
        <v>15.97</v>
      </c>
      <c r="M13" s="52">
        <f>R13*$B$1</f>
        <v>17.1</v>
      </c>
      <c r="N13" s="24">
        <v>18.7</v>
      </c>
      <c r="O13" s="24">
        <v>17</v>
      </c>
      <c r="P13" s="24">
        <v>14.5</v>
      </c>
      <c r="Q13" s="24">
        <v>14</v>
      </c>
      <c r="R13" s="24">
        <v>450</v>
      </c>
      <c r="S13" s="26" t="str">
        <f>IF('Sheet1 (2)'!R13+Sheet2!$AB$7&gt;=Sheet2!$AA$7,"超出《标准包裹》重量",IF(AND('Sheet1 (2)'!O13&lt;Sheet2!$X$7,'Sheet1 (2)'!P13&lt;Sheet2!$Y$7,'Sheet1 (2)'!Q13&lt;Sheet2!$Z$7),IF('Sheet1 (2)'!R13+Sheet2!$AB$6&gt;=Sheet2!$AA$6,Sheet2!$W$7,IF(AND('Sheet1 (2)'!O13&lt;Sheet2!$X$6,'Sheet1 (2)'!P13&lt;Sheet2!$Y$6,'Sheet1 (2)'!Q13&lt;Sheet2!$Z$6),IF('Sheet1 (2)'!R13+Sheet2!$AB$5&gt;=Sheet2!$AA$5,Sheet2!$W$6,IF(AND('Sheet1 (2)'!O13&lt;Sheet2!$X$5,'Sheet1 (2)'!P13&lt;Sheet2!$Y$5,'Sheet1 (2)'!Q13&lt;Sheet2!$Z$5),IF('Sheet1 (2)'!R13+Sheet2!$AB$4&gt;=Sheet2!$AA$4,Sheet2!$W$5,IF(AND('Sheet1 (2)'!O13&lt;Sheet2!$X$4,'Sheet1 (2)'!P13&lt;Sheet2!$Y$4,'Sheet1 (2)'!Q13&lt;Sheet2!$Z$4),Sheet2!$W$4,Sheet2!$W$5)),Sheet2!$W$6)),Sheet2!$W$7)),"超出《标准包裹》尺寸"))</f>
        <v>标准包裹</v>
      </c>
      <c r="T13" s="69">
        <f t="shared" si="4"/>
        <v>-24.7481666666667</v>
      </c>
      <c r="U13" s="73">
        <f t="shared" si="5"/>
        <v>-0.221380862927513</v>
      </c>
      <c r="Y13" s="76"/>
    </row>
    <row r="14" ht="15" customHeight="1" spans="1:25">
      <c r="A14" s="46"/>
      <c r="B14" s="47"/>
      <c r="C14" s="45" t="s">
        <v>33</v>
      </c>
      <c r="D14" s="39">
        <f>IF(S14=Sheet2!$W$4,INDEX(Sheet2!$J$5:$Q$5,1,MATCH('Sheet1 (2)'!C14,Sheet2!$J$3:$Q$3,0)),IF(S14=Sheet2!$W$5,INDEX(Sheet2!$J$6:$Q$8,MATCH('Sheet1 (2)'!R14,Sheet2!$H$6:$H$8,1),MATCH('Sheet1 (2)'!C14,Sheet2!$J$3:$Q$3,0)),IF(S14=Sheet2!$W$6,INDEX(Sheet2!$J$9:$Q$9,1,MATCH('Sheet1 (2)'!C14,Sheet2!$J$3:$Q$3,0)),IF(S14=Sheet2!$W$7,INDEX(Sheet2!$J$10:$Q$24,MATCH('Sheet1 (2)'!R14,Sheet2!$H$10:$H$24,1),MATCH('Sheet1 (2)'!C14,Sheet2!$J$3:$Q$3,0)),"ERR COUNTRY!"))))</f>
        <v>3.13</v>
      </c>
      <c r="E14" s="52">
        <f t="shared" si="0"/>
        <v>2.2485</v>
      </c>
      <c r="F14" s="53" t="s">
        <v>30</v>
      </c>
      <c r="G14" s="52">
        <f t="shared" si="1"/>
        <v>2.49833333333333</v>
      </c>
      <c r="H14" s="52">
        <f t="shared" si="2"/>
        <v>4.11516666666667</v>
      </c>
      <c r="I14" s="52" t="s">
        <v>30</v>
      </c>
      <c r="J14" s="52">
        <f>IF(OR(C14=Sheet2!$A$10),0,L14*0.2)</f>
        <v>2.998</v>
      </c>
      <c r="K14" s="52">
        <f t="shared" si="3"/>
        <v>7.11316666666667</v>
      </c>
      <c r="L14" s="58">
        <v>14.99</v>
      </c>
      <c r="M14" s="52">
        <f>R14*$B$1</f>
        <v>7.6</v>
      </c>
      <c r="N14" s="24">
        <v>9.48</v>
      </c>
      <c r="O14" s="24">
        <v>24</v>
      </c>
      <c r="P14" s="24">
        <v>22</v>
      </c>
      <c r="Q14" s="24">
        <v>2.3</v>
      </c>
      <c r="R14" s="24">
        <v>200</v>
      </c>
      <c r="S14" s="26" t="str">
        <f>IF('Sheet1 (2)'!R14+Sheet2!$AB$7&gt;=Sheet2!$AA$7,"超出《标准包裹》重量",IF(AND('Sheet1 (2)'!O14&lt;Sheet2!$X$7,'Sheet1 (2)'!P14&lt;Sheet2!$Y$7,'Sheet1 (2)'!Q14&lt;Sheet2!$Z$7),IF('Sheet1 (2)'!R14+Sheet2!$AB$6&gt;=Sheet2!$AA$6,Sheet2!$W$7,IF(AND('Sheet1 (2)'!O14&lt;Sheet2!$X$6,'Sheet1 (2)'!P14&lt;Sheet2!$Y$6,'Sheet1 (2)'!Q14&lt;Sheet2!$Z$6),IF('Sheet1 (2)'!R14+Sheet2!$AB$5&gt;=Sheet2!$AA$5,Sheet2!$W$6,IF(AND('Sheet1 (2)'!O14&lt;Sheet2!$X$5,'Sheet1 (2)'!P14&lt;Sheet2!$Y$5,'Sheet1 (2)'!Q14&lt;Sheet2!$Z$5),IF('Sheet1 (2)'!R14+Sheet2!$AB$4&gt;=Sheet2!$AA$4,Sheet2!$W$5,IF(AND('Sheet1 (2)'!O14&lt;Sheet2!$X$4,'Sheet1 (2)'!P14&lt;Sheet2!$Y$4,'Sheet1 (2)'!Q14&lt;Sheet2!$Z$4),Sheet2!$W$4,Sheet2!$W$5)),Sheet2!$W$6)),Sheet2!$W$7)),"超出《标准包裹》尺寸"))</f>
        <v>标准信封</v>
      </c>
      <c r="T14" s="69">
        <f t="shared" si="4"/>
        <v>11.7261666666667</v>
      </c>
      <c r="U14" s="73">
        <f t="shared" si="5"/>
        <v>0.111752279297309</v>
      </c>
      <c r="W14" s="75"/>
      <c r="X14" s="75"/>
      <c r="Y14" s="76"/>
    </row>
    <row r="15" ht="15" customHeight="1" spans="1:25">
      <c r="A15" s="46"/>
      <c r="B15" s="47"/>
      <c r="C15" s="45" t="s">
        <v>34</v>
      </c>
      <c r="D15" s="39">
        <f>IF(S15=Sheet2!$W$4,INDEX(Sheet2!$J$5:$Q$5,1,MATCH('Sheet1 (2)'!C15,Sheet2!$J$3:$Q$3,0)),IF(S15=Sheet2!$W$5,INDEX(Sheet2!$J$6:$Q$8,MATCH('Sheet1 (2)'!R15,Sheet2!$H$6:$H$8,1),MATCH('Sheet1 (2)'!C15,Sheet2!$J$3:$Q$3,0)),IF(S15=Sheet2!$W$6,INDEX(Sheet2!$J$9:$Q$9,1,MATCH('Sheet1 (2)'!C15,Sheet2!$J$3:$Q$3,0)),IF(S15=Sheet2!$W$7,INDEX(Sheet2!$J$10:$Q$24,MATCH('Sheet1 (2)'!R15,Sheet2!$H$10:$H$24,1),MATCH('Sheet1 (2)'!C15,Sheet2!$J$3:$Q$3,0)),"ERR COUNTRY!"))))</f>
        <v>2.96</v>
      </c>
      <c r="E15" s="52">
        <f t="shared" si="0"/>
        <v>2.2485</v>
      </c>
      <c r="F15" s="53" t="s">
        <v>30</v>
      </c>
      <c r="G15" s="52">
        <f t="shared" si="1"/>
        <v>2.49833333333333</v>
      </c>
      <c r="H15" s="52">
        <f t="shared" si="2"/>
        <v>4.28516666666667</v>
      </c>
      <c r="I15" s="52" t="s">
        <v>30</v>
      </c>
      <c r="J15" s="52">
        <f>IF(OR(C15=Sheet2!$A$10),0,L15*0.2)</f>
        <v>2.998</v>
      </c>
      <c r="K15" s="52">
        <f t="shared" si="3"/>
        <v>7.28316666666667</v>
      </c>
      <c r="L15" s="58">
        <v>14.99</v>
      </c>
      <c r="M15" s="52">
        <f>R15*$B$1</f>
        <v>7.6</v>
      </c>
      <c r="N15" s="24">
        <v>9.48</v>
      </c>
      <c r="O15" s="24">
        <v>24</v>
      </c>
      <c r="P15" s="24">
        <v>22</v>
      </c>
      <c r="Q15" s="24">
        <v>2.3</v>
      </c>
      <c r="R15" s="24">
        <v>200</v>
      </c>
      <c r="S15" s="26" t="str">
        <f>IF('Sheet1 (2)'!R15+Sheet2!$AB$7&gt;=Sheet2!$AA$7,"超出《标准包裹》重量",IF(AND('Sheet1 (2)'!O15&lt;Sheet2!$X$7,'Sheet1 (2)'!P15&lt;Sheet2!$Y$7,'Sheet1 (2)'!Q15&lt;Sheet2!$Z$7),IF('Sheet1 (2)'!R15+Sheet2!$AB$6&gt;=Sheet2!$AA$6,Sheet2!$W$7,IF(AND('Sheet1 (2)'!O15&lt;Sheet2!$X$6,'Sheet1 (2)'!P15&lt;Sheet2!$Y$6,'Sheet1 (2)'!Q15&lt;Sheet2!$Z$6),IF('Sheet1 (2)'!R15+Sheet2!$AB$5&gt;=Sheet2!$AA$5,Sheet2!$W$6,IF(AND('Sheet1 (2)'!O15&lt;Sheet2!$X$5,'Sheet1 (2)'!P15&lt;Sheet2!$Y$5,'Sheet1 (2)'!Q15&lt;Sheet2!$Z$5),IF('Sheet1 (2)'!R15+Sheet2!$AB$4&gt;=Sheet2!$AA$4,Sheet2!$W$5,IF(AND('Sheet1 (2)'!O15&lt;Sheet2!$X$4,'Sheet1 (2)'!P15&lt;Sheet2!$Y$4,'Sheet1 (2)'!Q15&lt;Sheet2!$Z$4),Sheet2!$W$4,Sheet2!$W$5)),Sheet2!$W$6)),Sheet2!$W$7)),"超出《标准包裹》尺寸"))</f>
        <v>标准信封</v>
      </c>
      <c r="T15" s="69">
        <f t="shared" si="4"/>
        <v>12.9161666666667</v>
      </c>
      <c r="U15" s="73">
        <f t="shared" si="5"/>
        <v>0.123093173226596</v>
      </c>
      <c r="Y15" s="76"/>
    </row>
    <row r="16" ht="15" customHeight="1" spans="1:25">
      <c r="A16" s="46"/>
      <c r="B16" s="47"/>
      <c r="C16" s="45" t="s">
        <v>35</v>
      </c>
      <c r="D16" s="39">
        <f>IF(S16=Sheet2!$W$4,INDEX(Sheet2!$J$5:$Q$5,1,MATCH('Sheet1 (2)'!C16,Sheet2!$J$3:$Q$3,0)),IF(S16=Sheet2!$W$5,INDEX(Sheet2!$J$6:$Q$8,MATCH('Sheet1 (2)'!R16,Sheet2!$H$6:$H$8,1),MATCH('Sheet1 (2)'!C16,Sheet2!$J$3:$Q$3,0)),IF(S16=Sheet2!$W$6,INDEX(Sheet2!$J$9:$Q$9,1,MATCH('Sheet1 (2)'!C16,Sheet2!$J$3:$Q$3,0)),IF(S16=Sheet2!$W$7,INDEX(Sheet2!$J$10:$Q$24,MATCH('Sheet1 (2)'!R16,Sheet2!$H$10:$H$24,1),MATCH('Sheet1 (2)'!C16,Sheet2!$J$3:$Q$3,0)),"ERR COUNTRY!"))))</f>
        <v>1.99</v>
      </c>
      <c r="E16" s="52">
        <f t="shared" si="0"/>
        <v>1.9485</v>
      </c>
      <c r="F16" s="53" t="s">
        <v>30</v>
      </c>
      <c r="G16" s="52">
        <f t="shared" si="1"/>
        <v>2.165</v>
      </c>
      <c r="H16" s="52">
        <f t="shared" si="2"/>
        <v>4.2885</v>
      </c>
      <c r="I16" s="52" t="s">
        <v>30</v>
      </c>
      <c r="J16" s="52">
        <f>IF(OR(C16=Sheet2!$A$10),0,L16*0.2)</f>
        <v>2.598</v>
      </c>
      <c r="K16" s="52">
        <f t="shared" si="3"/>
        <v>6.8865</v>
      </c>
      <c r="L16" s="58">
        <v>12.99</v>
      </c>
      <c r="M16" s="52">
        <f>R16*$B$1</f>
        <v>7.6</v>
      </c>
      <c r="N16" s="24">
        <v>9.48</v>
      </c>
      <c r="O16" s="24">
        <v>24</v>
      </c>
      <c r="P16" s="24">
        <v>22</v>
      </c>
      <c r="Q16" s="24">
        <v>2.3</v>
      </c>
      <c r="R16" s="24">
        <v>200</v>
      </c>
      <c r="S16" s="26" t="str">
        <f>IF('Sheet1 (2)'!R16+Sheet2!$AB$7&gt;=Sheet2!$AA$7,"超出《标准包裹》重量",IF(AND('Sheet1 (2)'!O16&lt;Sheet2!$X$7,'Sheet1 (2)'!P16&lt;Sheet2!$Y$7,'Sheet1 (2)'!Q16&lt;Sheet2!$Z$7),IF('Sheet1 (2)'!R16+Sheet2!$AB$6&gt;=Sheet2!$AA$6,Sheet2!$W$7,IF(AND('Sheet1 (2)'!O16&lt;Sheet2!$X$6,'Sheet1 (2)'!P16&lt;Sheet2!$Y$6,'Sheet1 (2)'!Q16&lt;Sheet2!$Z$6),IF('Sheet1 (2)'!R16+Sheet2!$AB$5&gt;=Sheet2!$AA$5,Sheet2!$W$6,IF(AND('Sheet1 (2)'!O16&lt;Sheet2!$X$5,'Sheet1 (2)'!P16&lt;Sheet2!$Y$5,'Sheet1 (2)'!Q16&lt;Sheet2!$Z$5),IF('Sheet1 (2)'!R16+Sheet2!$AB$4&gt;=Sheet2!$AA$4,Sheet2!$W$5,IF(AND('Sheet1 (2)'!O16&lt;Sheet2!$X$4,'Sheet1 (2)'!P16&lt;Sheet2!$Y$4,'Sheet1 (2)'!Q16&lt;Sheet2!$Z$4),Sheet2!$W$4,Sheet2!$W$5)),Sheet2!$W$6)),Sheet2!$W$7)),"超出《标准包裹》尺寸"))</f>
        <v>标准信封</v>
      </c>
      <c r="T16" s="69">
        <f t="shared" si="4"/>
        <v>12.9395</v>
      </c>
      <c r="U16" s="73">
        <f t="shared" si="5"/>
        <v>0.142301770592764</v>
      </c>
      <c r="Y16" s="76"/>
    </row>
    <row r="17" ht="15" customHeight="1" spans="1:25">
      <c r="A17" s="46"/>
      <c r="B17" s="47"/>
      <c r="C17" s="45" t="s">
        <v>36</v>
      </c>
      <c r="D17" s="39">
        <f>IF(S17=Sheet2!$W$4,INDEX(Sheet2!$J$5:$Q$5,1,MATCH('Sheet1 (2)'!C17,Sheet2!$J$3:$Q$3,0)),IF(S17=Sheet2!$W$5,INDEX(Sheet2!$J$6:$Q$8,MATCH('Sheet1 (2)'!R17,Sheet2!$H$6:$H$8,1),MATCH('Sheet1 (2)'!C17,Sheet2!$J$3:$Q$3,0)),IF(S17=Sheet2!$W$6,INDEX(Sheet2!$J$9:$Q$9,1,MATCH('Sheet1 (2)'!C17,Sheet2!$J$3:$Q$3,0)),IF(S17=Sheet2!$W$7,INDEX(Sheet2!$J$10:$Q$24,MATCH('Sheet1 (2)'!R17,Sheet2!$H$10:$H$24,1),MATCH('Sheet1 (2)'!C17,Sheet2!$J$3:$Q$3,0)),"ERR COUNTRY!"))))</f>
        <v>27.92</v>
      </c>
      <c r="E17" s="52">
        <f t="shared" si="0"/>
        <v>14.7</v>
      </c>
      <c r="F17" s="53" t="s">
        <v>30</v>
      </c>
      <c r="G17" s="52">
        <f t="shared" si="1"/>
        <v>16.3333333333333</v>
      </c>
      <c r="H17" s="52">
        <f t="shared" si="2"/>
        <v>39.0466666666667</v>
      </c>
      <c r="I17" s="52" t="s">
        <v>39</v>
      </c>
      <c r="J17" s="52">
        <f>IF(OR(C17=Sheet2!$A$10),0,L17*0.2)</f>
        <v>19.6</v>
      </c>
      <c r="K17" s="52">
        <f t="shared" si="3"/>
        <v>58.6466666666667</v>
      </c>
      <c r="L17" s="58">
        <v>98</v>
      </c>
      <c r="M17" s="52">
        <f>R17*$B$1</f>
        <v>7.6</v>
      </c>
      <c r="N17" s="24">
        <v>9.48</v>
      </c>
      <c r="O17" s="24">
        <v>24</v>
      </c>
      <c r="P17" s="24">
        <v>22</v>
      </c>
      <c r="Q17" s="24">
        <v>2.3</v>
      </c>
      <c r="R17" s="24">
        <v>200</v>
      </c>
      <c r="S17" s="26" t="str">
        <f>IF('Sheet1 (2)'!R17+Sheet2!$AB$7&gt;=Sheet2!$AA$7,"超出《标准包裹》重量",IF(AND('Sheet1 (2)'!O17&lt;Sheet2!$X$7,'Sheet1 (2)'!P17&lt;Sheet2!$Y$7,'Sheet1 (2)'!Q17&lt;Sheet2!$Z$7),IF('Sheet1 (2)'!R17+Sheet2!$AB$6&gt;=Sheet2!$AA$6,Sheet2!$W$7,IF(AND('Sheet1 (2)'!O17&lt;Sheet2!$X$6,'Sheet1 (2)'!P17&lt;Sheet2!$Y$6,'Sheet1 (2)'!Q17&lt;Sheet2!$Z$6),IF('Sheet1 (2)'!R17+Sheet2!$AB$5&gt;=Sheet2!$AA$5,Sheet2!$W$6,IF(AND('Sheet1 (2)'!O17&lt;Sheet2!$X$5,'Sheet1 (2)'!P17&lt;Sheet2!$Y$5,'Sheet1 (2)'!Q17&lt;Sheet2!$Z$5),IF('Sheet1 (2)'!R17+Sheet2!$AB$4&gt;=Sheet2!$AA$4,Sheet2!$W$5,IF(AND('Sheet1 (2)'!O17&lt;Sheet2!$X$4,'Sheet1 (2)'!P17&lt;Sheet2!$Y$4,'Sheet1 (2)'!Q17&lt;Sheet2!$Z$4),Sheet2!$W$4,Sheet2!$W$5)),Sheet2!$W$6)),Sheet2!$W$7)),"超出《标准包裹》尺寸"))</f>
        <v>标准信封</v>
      </c>
      <c r="T17" s="69">
        <f>H17*0.67-N17-M17</f>
        <v>9.08126666666667</v>
      </c>
      <c r="U17" s="73">
        <f>T17/(L17*0.67)*100%</f>
        <v>0.138307442379937</v>
      </c>
      <c r="Y17" s="76"/>
    </row>
    <row r="18" ht="15" customHeight="1" spans="1:25">
      <c r="A18" s="46"/>
      <c r="B18" s="47"/>
      <c r="C18" s="45" t="s">
        <v>37</v>
      </c>
      <c r="D18" s="39">
        <f>IF(S18=Sheet2!$W$4,INDEX(Sheet2!$J$5:$Q$5,1,MATCH('Sheet1 (2)'!C18,Sheet2!$J$3:$Q$3,0)),IF(S18=Sheet2!$W$5,INDEX(Sheet2!$J$6:$Q$8,MATCH('Sheet1 (2)'!R18,Sheet2!$H$6:$H$8,1),MATCH('Sheet1 (2)'!C18,Sheet2!$J$3:$Q$3,0)),IF(S18=Sheet2!$W$6,INDEX(Sheet2!$J$9:$Q$9,1,MATCH('Sheet1 (2)'!C18,Sheet2!$J$3:$Q$3,0)),IF(S18=Sheet2!$W$7,INDEX(Sheet2!$J$10:$Q$24,MATCH('Sheet1 (2)'!R18,Sheet2!$H$10:$H$24,1),MATCH('Sheet1 (2)'!C18,Sheet2!$J$3:$Q$3,0)),"ERR COUNTRY!"))))</f>
        <v>4.66</v>
      </c>
      <c r="E18" s="52">
        <f t="shared" si="0"/>
        <v>5.7</v>
      </c>
      <c r="F18" s="53" t="s">
        <v>30</v>
      </c>
      <c r="G18" s="52">
        <f t="shared" si="1"/>
        <v>6.33333333333333</v>
      </c>
      <c r="H18" s="52">
        <f t="shared" si="2"/>
        <v>21.3066666666667</v>
      </c>
      <c r="I18" s="52" t="s">
        <v>39</v>
      </c>
      <c r="J18" s="52">
        <f>IF(OR(C18=Sheet2!$A$10),0,L18*0.2)</f>
        <v>7.6</v>
      </c>
      <c r="K18" s="52">
        <f t="shared" si="3"/>
        <v>28.9066666666667</v>
      </c>
      <c r="L18" s="58">
        <v>38</v>
      </c>
      <c r="M18" s="52">
        <f>R18*$B$1</f>
        <v>7.6</v>
      </c>
      <c r="N18" s="24">
        <v>9.48</v>
      </c>
      <c r="O18" s="24">
        <v>24</v>
      </c>
      <c r="P18" s="24">
        <v>22</v>
      </c>
      <c r="Q18" s="24">
        <v>2.3</v>
      </c>
      <c r="R18" s="24">
        <v>200</v>
      </c>
      <c r="S18" s="26" t="str">
        <f>IF('Sheet1 (2)'!R18+Sheet2!$AB$7&gt;=Sheet2!$AA$7,"超出《标准包裹》重量",IF(AND('Sheet1 (2)'!O18&lt;Sheet2!$X$7,'Sheet1 (2)'!P18&lt;Sheet2!$Y$7,'Sheet1 (2)'!Q18&lt;Sheet2!$Z$7),IF('Sheet1 (2)'!R18+Sheet2!$AB$6&gt;=Sheet2!$AA$6,Sheet2!$W$7,IF(AND('Sheet1 (2)'!O18&lt;Sheet2!$X$6,'Sheet1 (2)'!P18&lt;Sheet2!$Y$6,'Sheet1 (2)'!Q18&lt;Sheet2!$Z$6),IF('Sheet1 (2)'!R18+Sheet2!$AB$5&gt;=Sheet2!$AA$5,Sheet2!$W$6,IF(AND('Sheet1 (2)'!O18&lt;Sheet2!$X$5,'Sheet1 (2)'!P18&lt;Sheet2!$Y$5,'Sheet1 (2)'!Q18&lt;Sheet2!$Z$5),IF('Sheet1 (2)'!R18+Sheet2!$AB$4&gt;=Sheet2!$AA$4,Sheet2!$W$5,IF(AND('Sheet1 (2)'!O18&lt;Sheet2!$X$4,'Sheet1 (2)'!P18&lt;Sheet2!$Y$4,'Sheet1 (2)'!Q18&lt;Sheet2!$Z$4),Sheet2!$W$4,Sheet2!$W$5)),Sheet2!$W$6)),Sheet2!$W$7)),"超出《标准包裹》尺寸"))</f>
        <v>标准信封</v>
      </c>
      <c r="T18" s="69">
        <f>H18*1.48-N18-M18</f>
        <v>14.4538666666667</v>
      </c>
      <c r="U18" s="73">
        <f>T18/(L18*1.48)*100%</f>
        <v>0.257003319108582</v>
      </c>
      <c r="Y18" s="76"/>
    </row>
    <row r="19" spans="1:25">
      <c r="A19" s="46"/>
      <c r="B19" s="47"/>
      <c r="C19" s="45"/>
      <c r="D19" s="39">
        <v>0</v>
      </c>
      <c r="E19" s="52">
        <f t="shared" si="0"/>
        <v>11.7</v>
      </c>
      <c r="F19" s="53" t="s">
        <v>39</v>
      </c>
      <c r="G19" s="52">
        <v>0</v>
      </c>
      <c r="H19" s="52">
        <f t="shared" si="2"/>
        <v>66.3</v>
      </c>
      <c r="I19" s="52" t="s">
        <v>30</v>
      </c>
      <c r="J19" s="52">
        <f>IF(OR(C19=Sheet2!$A$10),0,L19*0.2)</f>
        <v>0</v>
      </c>
      <c r="K19" s="52">
        <f t="shared" si="3"/>
        <v>66.3</v>
      </c>
      <c r="L19" s="59">
        <v>78</v>
      </c>
      <c r="M19" s="52">
        <f>R19*$B$1</f>
        <v>0</v>
      </c>
      <c r="N19" s="24">
        <v>9.48</v>
      </c>
      <c r="O19" s="64"/>
      <c r="P19" s="64"/>
      <c r="S19" s="70"/>
      <c r="T19" s="69">
        <f>H19*0.43-N19-M19</f>
        <v>19.029</v>
      </c>
      <c r="U19" s="73">
        <f>T19/(L19*0.43)*100%</f>
        <v>0.567352415026834</v>
      </c>
      <c r="Y19" s="76"/>
    </row>
  </sheetData>
  <sheetProtection formatCells="0" insertHyperlinks="0" autoFilter="0"/>
  <mergeCells count="24">
    <mergeCell ref="O1:S1"/>
    <mergeCell ref="A3:A10"/>
    <mergeCell ref="A11:A19"/>
    <mergeCell ref="B3:B10"/>
    <mergeCell ref="B11:B19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T1:T2"/>
    <mergeCell ref="U1:U2"/>
    <mergeCell ref="V1:V2"/>
    <mergeCell ref="W1:W2"/>
    <mergeCell ref="X1:X2"/>
    <mergeCell ref="Y1:Y2"/>
    <mergeCell ref="Y11:Y19"/>
  </mergeCells>
  <conditionalFormatting sqref="D19">
    <cfRule type="containsText" dxfId="0" priority="41" operator="between" text="错误">
      <formula>NOT(ISERROR(SEARCH("错误",D19)))</formula>
    </cfRule>
  </conditionalFormatting>
  <conditionalFormatting sqref="D11:D18">
    <cfRule type="containsText" dxfId="0" priority="42" operator="between" text="错误">
      <formula>NOT(ISERROR(SEARCH("错误",D11)))</formula>
    </cfRule>
  </conditionalFormatting>
  <conditionalFormatting sqref="D3:D10 D20:D1048576">
    <cfRule type="containsText" dxfId="0" priority="43" operator="between" text="错误">
      <formula>NOT(ISERROR(SEARCH("错误",D3)))</formula>
    </cfRule>
  </conditionalFormatting>
  <dataValidations count="2">
    <dataValidation type="list" allowBlank="1" showInputMessage="1" showErrorMessage="1" sqref="F3:F19 H3:I19">
      <formula1>"是,否"</formula1>
    </dataValidation>
    <dataValidation type="list" allowBlank="1" showInputMessage="1" showErrorMessage="1" sqref="C3:C19">
      <formula1>Sheet2!$A$2:$A$14</formula1>
    </dataValidation>
  </dataValidations>
  <pageMargins left="0.75" right="0.75" top="1" bottom="1" header="0.5" footer="0.5"/>
  <pageSetup paperSize="256" orientation="portrait" horizontalDpi="203" verticalDpi="20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7"/>
  <sheetViews>
    <sheetView zoomScale="85" zoomScaleNormal="85" workbookViewId="0">
      <selection activeCell="W27" sqref="W27"/>
    </sheetView>
  </sheetViews>
  <sheetFormatPr defaultColWidth="9" defaultRowHeight="13.5"/>
  <cols>
    <col min="3" max="3" width="14" customWidth="1"/>
    <col min="4" max="4" width="16" customWidth="1"/>
    <col min="5" max="5" width="11.625" customWidth="1"/>
    <col min="6" max="6" width="10.5" customWidth="1"/>
    <col min="7" max="7" width="21.875" customWidth="1"/>
    <col min="8" max="8" width="9.125" customWidth="1"/>
    <col min="9" max="9" width="8.375" customWidth="1"/>
    <col min="10" max="10" width="7.875" customWidth="1"/>
    <col min="16" max="16" width="15.2916666666667" customWidth="1"/>
    <col min="19" max="22" width="9.25" customWidth="1"/>
    <col min="23" max="23" width="9.625" customWidth="1"/>
    <col min="24" max="25" width="10.875" customWidth="1"/>
    <col min="26" max="26" width="11.125" customWidth="1"/>
    <col min="27" max="27" width="14.75" customWidth="1"/>
    <col min="28" max="28" width="10.25" customWidth="1"/>
  </cols>
  <sheetData>
    <row r="1" ht="14.25" spans="1:28">
      <c r="A1" s="2" t="s">
        <v>46</v>
      </c>
      <c r="B1" s="2" t="s">
        <v>1</v>
      </c>
      <c r="C1" s="3" t="s">
        <v>47</v>
      </c>
      <c r="D1" s="3" t="s">
        <v>48</v>
      </c>
      <c r="E1" s="3" t="s">
        <v>49</v>
      </c>
      <c r="F1" s="3" t="s">
        <v>50</v>
      </c>
      <c r="G1" s="9" t="s">
        <v>51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 t="s">
        <v>52</v>
      </c>
      <c r="X1" s="9"/>
      <c r="Y1" s="9"/>
      <c r="Z1" s="9"/>
      <c r="AA1" s="9"/>
      <c r="AB1" s="9"/>
    </row>
    <row r="2" ht="15.75" spans="1:28">
      <c r="A2" s="4" t="s">
        <v>29</v>
      </c>
      <c r="B2" s="4" t="s">
        <v>53</v>
      </c>
      <c r="C2" s="3" t="s">
        <v>54</v>
      </c>
      <c r="D2" s="3" t="s">
        <v>55</v>
      </c>
      <c r="E2" s="3" t="s">
        <v>56</v>
      </c>
      <c r="F2" s="3" t="s">
        <v>57</v>
      </c>
      <c r="G2" s="10"/>
      <c r="H2" s="10"/>
      <c r="I2" s="10"/>
      <c r="J2" s="11" t="s">
        <v>58</v>
      </c>
      <c r="K2" s="12"/>
      <c r="L2" s="12"/>
      <c r="M2" s="12"/>
      <c r="N2" s="12"/>
      <c r="O2" s="12"/>
      <c r="P2" s="12"/>
      <c r="Q2" s="12"/>
      <c r="R2" s="10" t="s">
        <v>59</v>
      </c>
      <c r="S2" s="10"/>
      <c r="T2" s="10"/>
      <c r="U2" s="10"/>
      <c r="V2" s="10"/>
      <c r="W2" s="10"/>
      <c r="X2" s="16" t="s">
        <v>60</v>
      </c>
      <c r="Y2" s="16" t="s">
        <v>61</v>
      </c>
      <c r="Z2" s="16" t="s">
        <v>62</v>
      </c>
      <c r="AA2" s="16" t="s">
        <v>63</v>
      </c>
      <c r="AB2" s="16" t="s">
        <v>64</v>
      </c>
    </row>
    <row r="3" ht="15.75" spans="1:28">
      <c r="A3" s="4" t="s">
        <v>31</v>
      </c>
      <c r="B3" s="4" t="s">
        <v>65</v>
      </c>
      <c r="C3" s="3" t="s">
        <v>66</v>
      </c>
      <c r="D3" s="3" t="s">
        <v>67</v>
      </c>
      <c r="E3" s="3" t="s">
        <v>56</v>
      </c>
      <c r="F3" s="3" t="s">
        <v>68</v>
      </c>
      <c r="G3" s="10"/>
      <c r="H3" s="10"/>
      <c r="I3" s="10"/>
      <c r="J3" s="10" t="s">
        <v>29</v>
      </c>
      <c r="K3" s="10" t="s">
        <v>31</v>
      </c>
      <c r="L3" s="10" t="s">
        <v>32</v>
      </c>
      <c r="M3" s="10" t="s">
        <v>33</v>
      </c>
      <c r="N3" s="10" t="s">
        <v>34</v>
      </c>
      <c r="O3" s="10" t="s">
        <v>35</v>
      </c>
      <c r="P3" s="4" t="s">
        <v>69</v>
      </c>
      <c r="Q3" s="4" t="s">
        <v>70</v>
      </c>
      <c r="R3" s="10" t="s">
        <v>29</v>
      </c>
      <c r="S3" s="10" t="s">
        <v>71</v>
      </c>
      <c r="T3" s="10"/>
      <c r="U3" s="10"/>
      <c r="V3" s="10"/>
      <c r="W3" s="17" t="s">
        <v>72</v>
      </c>
      <c r="X3" s="17"/>
      <c r="Y3" s="17"/>
      <c r="Z3" s="17"/>
      <c r="AA3" s="17"/>
      <c r="AB3" s="17"/>
    </row>
    <row r="4" ht="15" spans="1:28">
      <c r="A4" s="4" t="s">
        <v>32</v>
      </c>
      <c r="B4" s="4" t="s">
        <v>73</v>
      </c>
      <c r="C4" s="3" t="s">
        <v>74</v>
      </c>
      <c r="D4" s="3" t="s">
        <v>75</v>
      </c>
      <c r="E4" s="3" t="s">
        <v>56</v>
      </c>
      <c r="F4" s="3" t="s">
        <v>76</v>
      </c>
      <c r="G4" s="10" t="s">
        <v>77</v>
      </c>
      <c r="H4" s="10"/>
      <c r="I4" s="10"/>
      <c r="J4" s="10" t="s">
        <v>78</v>
      </c>
      <c r="K4" s="10" t="s">
        <v>79</v>
      </c>
      <c r="L4" s="10" t="s">
        <v>79</v>
      </c>
      <c r="M4" s="10" t="s">
        <v>79</v>
      </c>
      <c r="N4" s="10" t="s">
        <v>79</v>
      </c>
      <c r="O4" s="10" t="s">
        <v>79</v>
      </c>
      <c r="P4" s="4" t="s">
        <v>80</v>
      </c>
      <c r="Q4" s="4"/>
      <c r="R4" s="10" t="s">
        <v>78</v>
      </c>
      <c r="S4" s="10" t="s">
        <v>79</v>
      </c>
      <c r="T4" s="10"/>
      <c r="U4" s="10"/>
      <c r="V4" s="10"/>
      <c r="W4" s="18" t="s">
        <v>81</v>
      </c>
      <c r="X4" s="18">
        <v>20</v>
      </c>
      <c r="Y4" s="18">
        <v>15</v>
      </c>
      <c r="Z4" s="18">
        <v>1</v>
      </c>
      <c r="AA4" s="18">
        <v>80</v>
      </c>
      <c r="AB4" s="18">
        <v>0</v>
      </c>
    </row>
    <row r="5" ht="15" spans="1:28">
      <c r="A5" s="4" t="s">
        <v>33</v>
      </c>
      <c r="B5" s="4" t="s">
        <v>82</v>
      </c>
      <c r="C5" s="3" t="s">
        <v>83</v>
      </c>
      <c r="D5" s="3" t="s">
        <v>84</v>
      </c>
      <c r="E5" s="3" t="s">
        <v>56</v>
      </c>
      <c r="F5" s="3" t="s">
        <v>85</v>
      </c>
      <c r="G5" t="s">
        <v>86</v>
      </c>
      <c r="H5" s="10">
        <v>0</v>
      </c>
      <c r="I5" s="10">
        <v>80</v>
      </c>
      <c r="J5" s="13">
        <v>1.54</v>
      </c>
      <c r="K5" s="13">
        <v>2.05</v>
      </c>
      <c r="L5" s="13">
        <v>2.52</v>
      </c>
      <c r="M5" s="13">
        <v>2.88</v>
      </c>
      <c r="N5" s="13">
        <v>2.36</v>
      </c>
      <c r="O5" s="13">
        <v>1.67</v>
      </c>
      <c r="P5" s="13">
        <v>26.05</v>
      </c>
      <c r="Q5" s="14">
        <v>4.48</v>
      </c>
      <c r="R5" s="13">
        <v>3.99</v>
      </c>
      <c r="S5" s="13">
        <v>4.38</v>
      </c>
      <c r="U5" s="13"/>
      <c r="V5" s="13"/>
      <c r="W5" s="18" t="s">
        <v>87</v>
      </c>
      <c r="X5" s="18">
        <v>33</v>
      </c>
      <c r="Y5" s="18">
        <v>23</v>
      </c>
      <c r="Z5" s="18">
        <v>2.5</v>
      </c>
      <c r="AA5" s="18">
        <v>460</v>
      </c>
      <c r="AB5" s="18">
        <v>0</v>
      </c>
    </row>
    <row r="6" ht="15" spans="1:28">
      <c r="A6" s="4" t="s">
        <v>34</v>
      </c>
      <c r="B6" s="4" t="s">
        <v>88</v>
      </c>
      <c r="C6" s="3" t="s">
        <v>89</v>
      </c>
      <c r="D6" s="3" t="s">
        <v>90</v>
      </c>
      <c r="E6" s="3" t="s">
        <v>56</v>
      </c>
      <c r="F6" s="3" t="s">
        <v>91</v>
      </c>
      <c r="G6" t="s">
        <v>92</v>
      </c>
      <c r="H6" s="10">
        <v>0</v>
      </c>
      <c r="I6" s="10">
        <v>60</v>
      </c>
      <c r="J6" s="13">
        <v>1.64</v>
      </c>
      <c r="K6" s="13">
        <v>2.23</v>
      </c>
      <c r="L6" s="13">
        <v>2.62</v>
      </c>
      <c r="M6" s="13">
        <v>3</v>
      </c>
      <c r="N6" s="13">
        <v>2.65</v>
      </c>
      <c r="O6" s="13">
        <v>1.81</v>
      </c>
      <c r="P6" s="13">
        <v>26.76</v>
      </c>
      <c r="Q6" s="13">
        <v>4.53</v>
      </c>
      <c r="R6" s="13">
        <v>4.16</v>
      </c>
      <c r="S6" s="13">
        <v>4.55</v>
      </c>
      <c r="U6" s="13"/>
      <c r="V6" s="13"/>
      <c r="W6" s="18" t="s">
        <v>93</v>
      </c>
      <c r="X6" s="18">
        <v>33</v>
      </c>
      <c r="Y6" s="18">
        <v>23</v>
      </c>
      <c r="Z6" s="18">
        <v>5</v>
      </c>
      <c r="AA6" s="19">
        <v>960</v>
      </c>
      <c r="AB6" s="18">
        <v>0</v>
      </c>
    </row>
    <row r="7" ht="15" spans="1:28">
      <c r="A7" s="5" t="s">
        <v>35</v>
      </c>
      <c r="B7" s="4" t="s">
        <v>94</v>
      </c>
      <c r="C7" s="6"/>
      <c r="D7" s="6"/>
      <c r="E7" s="6"/>
      <c r="F7" s="6"/>
      <c r="G7" t="s">
        <v>95</v>
      </c>
      <c r="H7" s="10">
        <v>60</v>
      </c>
      <c r="I7" s="10">
        <v>210</v>
      </c>
      <c r="J7" s="13">
        <v>1.79</v>
      </c>
      <c r="K7" s="13">
        <v>2.37</v>
      </c>
      <c r="L7" s="13">
        <v>3.13</v>
      </c>
      <c r="M7" s="13">
        <v>3.13</v>
      </c>
      <c r="N7" s="13">
        <v>2.96</v>
      </c>
      <c r="O7" s="13">
        <v>1.99</v>
      </c>
      <c r="P7" s="13">
        <v>27.92</v>
      </c>
      <c r="Q7" s="13">
        <v>4.66</v>
      </c>
      <c r="R7" s="13">
        <v>4.45</v>
      </c>
      <c r="S7" s="13">
        <v>4.88</v>
      </c>
      <c r="U7" s="13"/>
      <c r="V7" s="13"/>
      <c r="W7" s="18" t="s">
        <v>96</v>
      </c>
      <c r="X7" s="18">
        <v>45</v>
      </c>
      <c r="Y7" s="18">
        <v>34</v>
      </c>
      <c r="Z7" s="18">
        <v>26</v>
      </c>
      <c r="AA7" s="19">
        <v>11900</v>
      </c>
      <c r="AB7" s="18">
        <v>0</v>
      </c>
    </row>
    <row r="8" spans="1:28">
      <c r="A8" s="5" t="s">
        <v>36</v>
      </c>
      <c r="B8" s="4" t="s">
        <v>97</v>
      </c>
      <c r="C8" s="3" t="s">
        <v>47</v>
      </c>
      <c r="D8" s="3" t="s">
        <v>48</v>
      </c>
      <c r="E8" s="3" t="s">
        <v>49</v>
      </c>
      <c r="F8" s="3" t="s">
        <v>50</v>
      </c>
      <c r="G8" t="s">
        <v>98</v>
      </c>
      <c r="H8" s="10">
        <v>210</v>
      </c>
      <c r="I8" s="10">
        <v>460</v>
      </c>
      <c r="J8" s="13">
        <v>1.91</v>
      </c>
      <c r="K8" s="13">
        <v>2.52</v>
      </c>
      <c r="L8" s="13">
        <v>3.58</v>
      </c>
      <c r="M8" s="13">
        <v>3.34</v>
      </c>
      <c r="N8" s="13">
        <v>3.18</v>
      </c>
      <c r="O8" s="13">
        <v>2.11</v>
      </c>
      <c r="P8" s="13">
        <v>32.16</v>
      </c>
      <c r="Q8" s="13">
        <v>4.91</v>
      </c>
      <c r="R8" s="13">
        <v>4.52</v>
      </c>
      <c r="S8" s="13">
        <v>4.95</v>
      </c>
      <c r="U8" s="13"/>
      <c r="V8" s="13"/>
      <c r="W8" s="10"/>
      <c r="X8" s="10"/>
      <c r="Y8" s="10"/>
      <c r="Z8" s="10"/>
      <c r="AA8" s="10"/>
      <c r="AB8" s="10"/>
    </row>
    <row r="9" spans="1:28">
      <c r="A9" s="5" t="s">
        <v>37</v>
      </c>
      <c r="B9" s="4" t="s">
        <v>99</v>
      </c>
      <c r="C9" s="3" t="s">
        <v>100</v>
      </c>
      <c r="D9" s="3" t="s">
        <v>101</v>
      </c>
      <c r="E9" s="3" t="s">
        <v>56</v>
      </c>
      <c r="F9" s="3" t="s">
        <v>102</v>
      </c>
      <c r="G9" t="s">
        <v>103</v>
      </c>
      <c r="H9" s="10">
        <v>0</v>
      </c>
      <c r="I9" s="10">
        <v>960</v>
      </c>
      <c r="J9" s="13">
        <v>2.52</v>
      </c>
      <c r="K9" s="13">
        <v>3.21</v>
      </c>
      <c r="L9" s="13">
        <v>4.48</v>
      </c>
      <c r="M9" s="13">
        <v>3.83</v>
      </c>
      <c r="N9" s="13">
        <v>3.54</v>
      </c>
      <c r="O9" s="13">
        <v>2.8</v>
      </c>
      <c r="P9" s="13">
        <v>36.63</v>
      </c>
      <c r="Q9" s="13">
        <v>5.64</v>
      </c>
      <c r="R9" s="13">
        <v>4.84</v>
      </c>
      <c r="S9" s="13">
        <v>5.3</v>
      </c>
      <c r="T9" s="5"/>
      <c r="U9" s="13"/>
      <c r="V9" s="13"/>
      <c r="W9" s="10"/>
      <c r="X9" s="10"/>
      <c r="Y9" s="10"/>
      <c r="Z9" s="10"/>
      <c r="AA9" s="10"/>
      <c r="AB9" s="10"/>
    </row>
    <row r="10" spans="3:28">
      <c r="C10" s="3" t="s">
        <v>104</v>
      </c>
      <c r="D10" s="3" t="s">
        <v>105</v>
      </c>
      <c r="E10" s="3" t="s">
        <v>56</v>
      </c>
      <c r="F10" s="3" t="s">
        <v>106</v>
      </c>
      <c r="G10" t="s">
        <v>107</v>
      </c>
      <c r="H10" s="10">
        <v>0</v>
      </c>
      <c r="I10" s="10">
        <v>150</v>
      </c>
      <c r="J10" s="13">
        <v>2.57</v>
      </c>
      <c r="K10" s="13">
        <v>3.34</v>
      </c>
      <c r="L10" s="13">
        <v>4.46</v>
      </c>
      <c r="M10" s="13">
        <v>4.28</v>
      </c>
      <c r="N10" s="13">
        <v>3.49</v>
      </c>
      <c r="O10" s="13">
        <v>2.81</v>
      </c>
      <c r="P10" s="13">
        <v>40.45</v>
      </c>
      <c r="Q10" s="13">
        <v>5.35</v>
      </c>
      <c r="R10" s="13">
        <v>4.86</v>
      </c>
      <c r="S10" s="13">
        <v>5.32</v>
      </c>
      <c r="U10" s="13"/>
      <c r="V10" s="13"/>
      <c r="W10" s="10"/>
      <c r="X10" s="10"/>
      <c r="Y10" s="10"/>
      <c r="Z10" s="10"/>
      <c r="AA10" s="10"/>
      <c r="AB10" s="10"/>
    </row>
    <row r="11" spans="3:28">
      <c r="C11" s="3" t="s">
        <v>108</v>
      </c>
      <c r="D11" s="3" t="s">
        <v>109</v>
      </c>
      <c r="E11" s="3" t="s">
        <v>56</v>
      </c>
      <c r="F11" s="3" t="s">
        <v>110</v>
      </c>
      <c r="G11" t="s">
        <v>111</v>
      </c>
      <c r="H11" s="10">
        <v>150</v>
      </c>
      <c r="I11" s="10">
        <v>400</v>
      </c>
      <c r="J11" s="13">
        <v>2.77</v>
      </c>
      <c r="K11" s="13">
        <v>3.73</v>
      </c>
      <c r="L11" s="13">
        <v>5.27</v>
      </c>
      <c r="M11" s="13">
        <v>4.82</v>
      </c>
      <c r="N11" s="13">
        <v>4.1</v>
      </c>
      <c r="O11" s="13">
        <v>3.16</v>
      </c>
      <c r="P11" s="13">
        <v>42.91</v>
      </c>
      <c r="Q11" s="13">
        <v>5.66</v>
      </c>
      <c r="R11" s="13">
        <v>5.94</v>
      </c>
      <c r="S11" s="13">
        <v>6.5</v>
      </c>
      <c r="U11" s="13"/>
      <c r="V11" s="13"/>
      <c r="W11" s="10"/>
      <c r="X11" s="10"/>
      <c r="Y11" s="10"/>
      <c r="Z11" s="10"/>
      <c r="AA11" s="10"/>
      <c r="AB11" s="10"/>
    </row>
    <row r="12" spans="3:28">
      <c r="C12" s="7" t="s">
        <v>112</v>
      </c>
      <c r="D12" s="3" t="s">
        <v>113</v>
      </c>
      <c r="E12" s="3" t="s">
        <v>56</v>
      </c>
      <c r="F12" s="3" t="s">
        <v>114</v>
      </c>
      <c r="G12" t="s">
        <v>115</v>
      </c>
      <c r="H12" s="10">
        <v>400</v>
      </c>
      <c r="I12" s="10">
        <v>900</v>
      </c>
      <c r="J12" s="13">
        <v>2.99</v>
      </c>
      <c r="K12" s="13">
        <v>4.19</v>
      </c>
      <c r="L12" s="13">
        <v>6.14</v>
      </c>
      <c r="M12" s="13">
        <v>5.48</v>
      </c>
      <c r="N12" s="13">
        <v>4.42</v>
      </c>
      <c r="O12" s="13">
        <v>3.63</v>
      </c>
      <c r="P12" s="13">
        <v>43.01</v>
      </c>
      <c r="Q12" s="13">
        <v>6.48</v>
      </c>
      <c r="R12" s="13">
        <v>7</v>
      </c>
      <c r="S12" s="13">
        <v>7.66</v>
      </c>
      <c r="U12" s="13"/>
      <c r="V12" s="13"/>
      <c r="W12" s="10"/>
      <c r="X12" s="10"/>
      <c r="Y12" s="10"/>
      <c r="Z12" s="10"/>
      <c r="AA12" s="10"/>
      <c r="AB12" s="10"/>
    </row>
    <row r="13" spans="3:28">
      <c r="C13" s="3" t="s">
        <v>116</v>
      </c>
      <c r="D13" s="3" t="s">
        <v>55</v>
      </c>
      <c r="E13" s="3" t="s">
        <v>56</v>
      </c>
      <c r="F13" s="3" t="s">
        <v>117</v>
      </c>
      <c r="G13" t="s">
        <v>118</v>
      </c>
      <c r="H13" s="10">
        <v>900</v>
      </c>
      <c r="I13" s="10">
        <v>1400</v>
      </c>
      <c r="J13" s="13">
        <v>3.19</v>
      </c>
      <c r="K13" s="13">
        <v>4.89</v>
      </c>
      <c r="L13" s="13">
        <v>6.49</v>
      </c>
      <c r="M13" s="13">
        <v>6.19</v>
      </c>
      <c r="N13" s="13">
        <v>5.09</v>
      </c>
      <c r="O13" s="13">
        <v>4.33</v>
      </c>
      <c r="P13" s="13">
        <v>44.96</v>
      </c>
      <c r="Q13" s="13">
        <v>6.75</v>
      </c>
      <c r="R13" s="13">
        <v>7.68</v>
      </c>
      <c r="S13" s="13">
        <v>8.42</v>
      </c>
      <c r="T13" s="15"/>
      <c r="U13" s="13"/>
      <c r="V13" s="13"/>
      <c r="W13" s="10"/>
      <c r="X13" s="10"/>
      <c r="Y13" s="10"/>
      <c r="Z13" s="10"/>
      <c r="AA13" s="10"/>
      <c r="AB13" s="10"/>
    </row>
    <row r="14" spans="3:28">
      <c r="C14" s="3" t="s">
        <v>119</v>
      </c>
      <c r="D14" s="3" t="s">
        <v>55</v>
      </c>
      <c r="E14" s="3" t="s">
        <v>56</v>
      </c>
      <c r="F14" s="3" t="s">
        <v>120</v>
      </c>
      <c r="G14" t="s">
        <v>121</v>
      </c>
      <c r="H14" s="10">
        <v>1400</v>
      </c>
      <c r="I14" s="10">
        <v>1900</v>
      </c>
      <c r="J14" s="13">
        <v>3.49</v>
      </c>
      <c r="K14" s="13">
        <v>5.35</v>
      </c>
      <c r="L14" s="13">
        <v>6.68</v>
      </c>
      <c r="M14" s="13">
        <v>6.43</v>
      </c>
      <c r="N14" s="13">
        <v>5.18</v>
      </c>
      <c r="O14" s="13">
        <v>4.74</v>
      </c>
      <c r="P14" s="13">
        <v>47.45</v>
      </c>
      <c r="Q14" s="13">
        <v>6.75</v>
      </c>
      <c r="R14" s="13">
        <v>8.8</v>
      </c>
      <c r="S14" s="13">
        <v>9.64</v>
      </c>
      <c r="T14" s="15"/>
      <c r="U14" s="13"/>
      <c r="V14" s="13"/>
      <c r="W14" s="10"/>
      <c r="X14" s="10"/>
      <c r="Y14" s="10"/>
      <c r="Z14" s="10"/>
      <c r="AA14" s="10"/>
      <c r="AB14" s="10"/>
    </row>
    <row r="15" spans="7:28">
      <c r="G15" t="s">
        <v>122</v>
      </c>
      <c r="H15" s="10">
        <v>1900</v>
      </c>
      <c r="I15" s="10">
        <v>2900</v>
      </c>
      <c r="J15" s="13">
        <v>4.95</v>
      </c>
      <c r="K15" s="13">
        <v>5.95</v>
      </c>
      <c r="L15" s="13">
        <v>8.95</v>
      </c>
      <c r="M15" s="13">
        <v>7.28</v>
      </c>
      <c r="N15" s="13">
        <v>5.89</v>
      </c>
      <c r="O15" s="13">
        <v>5.5</v>
      </c>
      <c r="P15" s="13">
        <v>50.63</v>
      </c>
      <c r="Q15" s="13">
        <v>6.83</v>
      </c>
      <c r="R15" s="13">
        <v>9.79</v>
      </c>
      <c r="S15" s="13">
        <v>10.73</v>
      </c>
      <c r="T15" s="15"/>
      <c r="U15" s="13"/>
      <c r="V15" s="13"/>
      <c r="W15" s="10"/>
      <c r="X15" s="10"/>
      <c r="Y15" s="10"/>
      <c r="Z15" s="10"/>
      <c r="AA15" s="10"/>
      <c r="AB15" s="10"/>
    </row>
    <row r="16" spans="7:28">
      <c r="G16" t="s">
        <v>123</v>
      </c>
      <c r="H16" s="10">
        <v>2900</v>
      </c>
      <c r="I16" s="10">
        <v>3900</v>
      </c>
      <c r="J16" s="13">
        <v>5.39</v>
      </c>
      <c r="K16" s="13">
        <v>6.53</v>
      </c>
      <c r="L16" s="13">
        <v>9.34</v>
      </c>
      <c r="M16" s="13">
        <v>7.6</v>
      </c>
      <c r="N16" s="13">
        <v>7.2</v>
      </c>
      <c r="O16" s="13">
        <v>5.52</v>
      </c>
      <c r="P16" s="13">
        <v>50.78</v>
      </c>
      <c r="Q16" s="13">
        <v>6.86</v>
      </c>
      <c r="R16" s="13">
        <v>11.52</v>
      </c>
      <c r="S16" s="13">
        <v>12.68</v>
      </c>
      <c r="T16" s="15"/>
      <c r="U16" s="13"/>
      <c r="V16" s="13"/>
      <c r="W16" s="10"/>
      <c r="X16" s="10"/>
      <c r="Y16" s="10"/>
      <c r="Z16" s="10"/>
      <c r="AA16" s="10"/>
      <c r="AB16" s="10"/>
    </row>
    <row r="17" spans="7:28">
      <c r="G17" t="s">
        <v>124</v>
      </c>
      <c r="H17" s="10">
        <v>3900</v>
      </c>
      <c r="I17" s="10">
        <v>4900</v>
      </c>
      <c r="J17" s="13">
        <v>5.54</v>
      </c>
      <c r="K17" s="13">
        <v>6.86</v>
      </c>
      <c r="L17" s="13">
        <v>9.8</v>
      </c>
      <c r="M17" s="13">
        <v>8.68</v>
      </c>
      <c r="N17" s="13">
        <v>7.44</v>
      </c>
      <c r="O17" s="13">
        <v>5.74</v>
      </c>
      <c r="P17" s="13">
        <v>54.49</v>
      </c>
      <c r="Q17" s="13">
        <v>7.01</v>
      </c>
      <c r="R17" s="13">
        <v>12.1</v>
      </c>
      <c r="S17" s="13">
        <v>13.32</v>
      </c>
      <c r="T17" s="15"/>
      <c r="U17" s="13"/>
      <c r="V17" s="13"/>
      <c r="W17" s="10"/>
      <c r="X17" s="10"/>
      <c r="Y17" s="10"/>
      <c r="Z17" s="10"/>
      <c r="AA17" s="10"/>
      <c r="AB17" s="10"/>
    </row>
    <row r="18" spans="7:28">
      <c r="G18" t="s">
        <v>125</v>
      </c>
      <c r="H18" s="10">
        <v>4900</v>
      </c>
      <c r="I18" s="10">
        <v>5900</v>
      </c>
      <c r="J18" s="13">
        <v>5.54</v>
      </c>
      <c r="K18" s="13">
        <v>6.86</v>
      </c>
      <c r="L18" s="13">
        <v>9.8</v>
      </c>
      <c r="M18" s="13">
        <v>8.68</v>
      </c>
      <c r="N18" s="13">
        <v>7.44</v>
      </c>
      <c r="O18" s="13">
        <v>5.74</v>
      </c>
      <c r="P18" s="13">
        <v>54.49</v>
      </c>
      <c r="Q18" s="13">
        <v>7.01</v>
      </c>
      <c r="R18" s="13">
        <v>12.1</v>
      </c>
      <c r="S18" s="13">
        <v>13.32</v>
      </c>
      <c r="T18" s="15"/>
      <c r="U18" s="13"/>
      <c r="V18" s="13"/>
      <c r="W18" s="10"/>
      <c r="X18" s="10"/>
      <c r="Y18" s="10"/>
      <c r="Z18" s="10"/>
      <c r="AA18" s="10"/>
      <c r="AB18" s="10"/>
    </row>
    <row r="19" spans="1:28">
      <c r="A19" s="8"/>
      <c r="B19" s="8"/>
      <c r="G19" t="s">
        <v>126</v>
      </c>
      <c r="H19" s="10">
        <v>5900</v>
      </c>
      <c r="I19" s="10">
        <v>6900</v>
      </c>
      <c r="J19" s="13">
        <v>5.42</v>
      </c>
      <c r="K19" s="13">
        <v>7.38</v>
      </c>
      <c r="L19" s="13">
        <v>10.66</v>
      </c>
      <c r="M19" s="13">
        <v>9.62</v>
      </c>
      <c r="N19" s="13">
        <v>7.46</v>
      </c>
      <c r="O19" s="13">
        <v>6.05</v>
      </c>
      <c r="P19" s="13">
        <v>55.98</v>
      </c>
      <c r="Q19" s="13">
        <v>7.36</v>
      </c>
      <c r="R19" s="13">
        <v>12.1</v>
      </c>
      <c r="S19" s="13">
        <v>13.32</v>
      </c>
      <c r="T19" s="15"/>
      <c r="U19" s="13"/>
      <c r="V19" s="13"/>
      <c r="W19" s="10"/>
      <c r="X19" s="10"/>
      <c r="Y19" s="10"/>
      <c r="Z19" s="10"/>
      <c r="AA19" s="10"/>
      <c r="AB19" s="10"/>
    </row>
    <row r="20" spans="7:28">
      <c r="G20" t="s">
        <v>127</v>
      </c>
      <c r="H20" s="10">
        <v>6900</v>
      </c>
      <c r="I20" s="10">
        <v>7900</v>
      </c>
      <c r="J20" s="13">
        <v>5.42</v>
      </c>
      <c r="K20" s="13">
        <v>7.38</v>
      </c>
      <c r="L20" s="13">
        <v>10.66</v>
      </c>
      <c r="M20" s="13">
        <v>9.62</v>
      </c>
      <c r="N20" s="13">
        <v>7.46</v>
      </c>
      <c r="O20" s="13">
        <v>6.05</v>
      </c>
      <c r="P20" s="13">
        <v>55.98</v>
      </c>
      <c r="Q20" s="13">
        <v>7.36</v>
      </c>
      <c r="R20" s="13">
        <v>12.79</v>
      </c>
      <c r="S20" s="13">
        <v>14.09</v>
      </c>
      <c r="T20" s="15"/>
      <c r="U20" s="13"/>
      <c r="V20" s="13"/>
      <c r="W20" s="10"/>
      <c r="X20" s="10"/>
      <c r="Y20" s="10"/>
      <c r="Z20" s="10"/>
      <c r="AA20" s="10"/>
      <c r="AB20" s="10"/>
    </row>
    <row r="21" spans="7:28">
      <c r="G21" t="s">
        <v>128</v>
      </c>
      <c r="H21" s="10">
        <v>7900</v>
      </c>
      <c r="I21" s="10">
        <v>8900</v>
      </c>
      <c r="J21" s="13">
        <v>6.68</v>
      </c>
      <c r="K21" s="13">
        <v>7.66</v>
      </c>
      <c r="L21" s="13">
        <v>11.17</v>
      </c>
      <c r="M21" s="13">
        <v>10.32</v>
      </c>
      <c r="N21" s="13">
        <v>7.47</v>
      </c>
      <c r="O21" s="13">
        <v>6.45</v>
      </c>
      <c r="P21" s="13">
        <v>73.28</v>
      </c>
      <c r="Q21" s="13">
        <v>9.12</v>
      </c>
      <c r="R21" s="13">
        <v>13.12</v>
      </c>
      <c r="S21" s="13">
        <v>14.44</v>
      </c>
      <c r="T21" s="15"/>
      <c r="U21" s="13"/>
      <c r="V21" s="13"/>
      <c r="W21" s="10"/>
      <c r="X21" s="10"/>
      <c r="Y21" s="10"/>
      <c r="Z21" s="10"/>
      <c r="AA21" s="10"/>
      <c r="AB21" s="10"/>
    </row>
    <row r="22" spans="7:28">
      <c r="G22" t="s">
        <v>129</v>
      </c>
      <c r="H22" s="10">
        <v>8900</v>
      </c>
      <c r="I22" s="10">
        <v>9900</v>
      </c>
      <c r="J22" s="13">
        <v>6.68</v>
      </c>
      <c r="K22" s="13">
        <v>7.66</v>
      </c>
      <c r="L22" s="13">
        <v>11.17</v>
      </c>
      <c r="M22" s="13">
        <v>10.32</v>
      </c>
      <c r="N22" s="13">
        <v>7.47</v>
      </c>
      <c r="O22" s="13">
        <v>6.45</v>
      </c>
      <c r="P22" s="13">
        <v>73.28</v>
      </c>
      <c r="Q22" s="13">
        <v>9.12</v>
      </c>
      <c r="R22" s="13">
        <v>15.7</v>
      </c>
      <c r="S22" s="13">
        <v>17.29</v>
      </c>
      <c r="T22" s="15"/>
      <c r="U22" s="13"/>
      <c r="V22" s="13"/>
      <c r="W22" s="10"/>
      <c r="X22" s="10"/>
      <c r="Y22" s="10"/>
      <c r="Z22" s="10"/>
      <c r="AA22" s="10"/>
      <c r="AB22" s="10"/>
    </row>
    <row r="23" spans="7:28">
      <c r="G23" t="s">
        <v>130</v>
      </c>
      <c r="H23" s="10">
        <v>9900</v>
      </c>
      <c r="I23" s="10">
        <v>10900</v>
      </c>
      <c r="J23" s="13">
        <v>6.68</v>
      </c>
      <c r="K23" s="13">
        <v>7.66</v>
      </c>
      <c r="L23" s="13">
        <v>11.17</v>
      </c>
      <c r="M23" s="13">
        <v>10.32</v>
      </c>
      <c r="N23" s="13">
        <v>7.47</v>
      </c>
      <c r="O23" s="13">
        <v>6.45</v>
      </c>
      <c r="P23" s="13">
        <v>73.28</v>
      </c>
      <c r="Q23" s="13">
        <v>9.12</v>
      </c>
      <c r="R23" s="13">
        <v>15.7</v>
      </c>
      <c r="S23" s="13">
        <v>17.29</v>
      </c>
      <c r="T23" s="15"/>
      <c r="U23" s="13"/>
      <c r="V23" s="13"/>
      <c r="W23" s="10"/>
      <c r="X23" s="10"/>
      <c r="Y23" s="10"/>
      <c r="Z23" s="10"/>
      <c r="AA23" s="10"/>
      <c r="AB23" s="10"/>
    </row>
    <row r="24" spans="7:28">
      <c r="G24" t="s">
        <v>131</v>
      </c>
      <c r="H24" s="10">
        <v>10900</v>
      </c>
      <c r="I24" s="10">
        <v>11900</v>
      </c>
      <c r="J24" s="13">
        <v>6.68</v>
      </c>
      <c r="K24" s="13">
        <v>7.66</v>
      </c>
      <c r="L24" s="13">
        <v>11.17</v>
      </c>
      <c r="M24" s="13">
        <v>10.32</v>
      </c>
      <c r="N24" s="13">
        <v>7.47</v>
      </c>
      <c r="O24" s="13">
        <v>6.45</v>
      </c>
      <c r="P24" s="13">
        <v>73.28</v>
      </c>
      <c r="Q24" s="13">
        <v>9.12</v>
      </c>
      <c r="R24" s="13">
        <v>15.7</v>
      </c>
      <c r="S24" s="13">
        <v>17.29</v>
      </c>
      <c r="T24" s="15"/>
      <c r="U24" s="13"/>
      <c r="V24" s="13"/>
      <c r="W24" s="10"/>
      <c r="X24" s="10"/>
      <c r="Y24" s="10"/>
      <c r="Z24" s="10"/>
      <c r="AA24" s="10"/>
      <c r="AB24" s="10"/>
    </row>
    <row r="29" spans="7:7">
      <c r="G29" t="s">
        <v>132</v>
      </c>
    </row>
    <row r="30" spans="7:7">
      <c r="G30" s="5" t="s">
        <v>133</v>
      </c>
    </row>
    <row r="31" spans="8:14">
      <c r="H31" t="s">
        <v>134</v>
      </c>
      <c r="N31" t="s">
        <v>59</v>
      </c>
    </row>
    <row r="32" spans="7:17">
      <c r="G32" t="s">
        <v>135</v>
      </c>
      <c r="H32" t="s">
        <v>136</v>
      </c>
      <c r="I32" t="s">
        <v>137</v>
      </c>
      <c r="J32" t="s">
        <v>138</v>
      </c>
      <c r="K32" t="s">
        <v>139</v>
      </c>
      <c r="L32" t="s">
        <v>140</v>
      </c>
      <c r="M32" t="s">
        <v>141</v>
      </c>
      <c r="N32" t="s">
        <v>136</v>
      </c>
      <c r="O32" t="s">
        <v>142</v>
      </c>
      <c r="P32" t="s">
        <v>143</v>
      </c>
      <c r="Q32" t="s">
        <v>144</v>
      </c>
    </row>
    <row r="33" spans="7:17">
      <c r="G33" t="s">
        <v>86</v>
      </c>
      <c r="H33" t="s">
        <v>145</v>
      </c>
      <c r="I33" s="20">
        <v>1.73</v>
      </c>
      <c r="J33" s="20">
        <v>2.37</v>
      </c>
      <c r="K33" s="20">
        <v>2.74</v>
      </c>
      <c r="L33" s="20">
        <v>2.26</v>
      </c>
      <c r="M33" s="20">
        <v>1.62</v>
      </c>
      <c r="N33" t="s">
        <v>146</v>
      </c>
      <c r="O33" s="20">
        <v>4.38</v>
      </c>
      <c r="P33" s="5" t="s">
        <v>147</v>
      </c>
      <c r="Q33" t="s">
        <v>148</v>
      </c>
    </row>
    <row r="34" spans="7:17">
      <c r="G34" t="s">
        <v>92</v>
      </c>
      <c r="H34" t="s">
        <v>149</v>
      </c>
      <c r="I34" s="20">
        <v>1.88</v>
      </c>
      <c r="J34" s="20">
        <v>2.52</v>
      </c>
      <c r="K34" s="20">
        <v>2.88</v>
      </c>
      <c r="L34" s="20">
        <v>2.51</v>
      </c>
      <c r="M34" s="20">
        <v>1.76</v>
      </c>
      <c r="N34" t="s">
        <v>150</v>
      </c>
      <c r="O34" s="20">
        <v>4.55</v>
      </c>
      <c r="P34" t="s">
        <v>151</v>
      </c>
      <c r="Q34" t="s">
        <v>152</v>
      </c>
    </row>
    <row r="35" spans="7:17">
      <c r="G35" t="s">
        <v>95</v>
      </c>
      <c r="H35" t="s">
        <v>153</v>
      </c>
      <c r="I35" s="20">
        <v>2.01</v>
      </c>
      <c r="J35" s="20">
        <v>3.01</v>
      </c>
      <c r="K35" s="20">
        <v>3.03</v>
      </c>
      <c r="L35" s="20">
        <v>2.81</v>
      </c>
      <c r="M35" s="20">
        <v>1.93</v>
      </c>
      <c r="N35" t="s">
        <v>154</v>
      </c>
      <c r="O35" s="20">
        <v>4.88</v>
      </c>
      <c r="P35" t="s">
        <v>155</v>
      </c>
      <c r="Q35" t="s">
        <v>156</v>
      </c>
    </row>
    <row r="36" spans="7:17">
      <c r="G36" t="s">
        <v>98</v>
      </c>
      <c r="H36" t="s">
        <v>157</v>
      </c>
      <c r="I36" s="20">
        <v>2.16</v>
      </c>
      <c r="J36" s="20">
        <v>3.38</v>
      </c>
      <c r="K36" s="20">
        <v>3.27</v>
      </c>
      <c r="L36" s="20">
        <v>3.02</v>
      </c>
      <c r="M36" s="20">
        <v>2.05</v>
      </c>
      <c r="N36" t="s">
        <v>158</v>
      </c>
      <c r="O36" s="20">
        <v>4.95</v>
      </c>
      <c r="P36" t="s">
        <v>159</v>
      </c>
      <c r="Q36" t="s">
        <v>160</v>
      </c>
    </row>
    <row r="37" spans="7:17">
      <c r="G37" t="s">
        <v>103</v>
      </c>
      <c r="H37" t="s">
        <v>161</v>
      </c>
      <c r="I37" s="20">
        <v>2.52</v>
      </c>
      <c r="J37" s="20">
        <v>3.96</v>
      </c>
      <c r="K37" s="20">
        <v>3.53</v>
      </c>
      <c r="L37" s="20">
        <v>3.15</v>
      </c>
      <c r="M37" s="20">
        <v>2.48</v>
      </c>
      <c r="N37" t="s">
        <v>162</v>
      </c>
      <c r="O37" s="20">
        <v>5.3</v>
      </c>
      <c r="P37" t="s">
        <v>163</v>
      </c>
      <c r="Q37" t="s">
        <v>164</v>
      </c>
    </row>
    <row r="38" spans="7:17">
      <c r="G38" t="s">
        <v>107</v>
      </c>
      <c r="H38" t="s">
        <v>165</v>
      </c>
      <c r="I38" s="20">
        <v>2.66</v>
      </c>
      <c r="J38" s="20">
        <v>3.95</v>
      </c>
      <c r="K38" s="20">
        <v>3.62</v>
      </c>
      <c r="L38" s="20">
        <v>2.99</v>
      </c>
      <c r="M38" s="20">
        <v>2.53</v>
      </c>
      <c r="N38" t="s">
        <v>166</v>
      </c>
      <c r="O38" s="20">
        <v>5.32</v>
      </c>
      <c r="P38" t="s">
        <v>167</v>
      </c>
      <c r="Q38" t="s">
        <v>168</v>
      </c>
    </row>
    <row r="39" spans="7:17">
      <c r="G39" t="s">
        <v>111</v>
      </c>
      <c r="H39" t="s">
        <v>169</v>
      </c>
      <c r="I39" s="20">
        <v>2.95</v>
      </c>
      <c r="J39" s="20">
        <v>4.72</v>
      </c>
      <c r="K39" s="20">
        <v>4.04</v>
      </c>
      <c r="L39" s="20">
        <v>3.5</v>
      </c>
      <c r="M39" s="20">
        <v>2.81</v>
      </c>
      <c r="N39" t="s">
        <v>170</v>
      </c>
      <c r="O39" s="20">
        <v>6.5</v>
      </c>
      <c r="P39" t="s">
        <v>171</v>
      </c>
      <c r="Q39" t="s">
        <v>172</v>
      </c>
    </row>
    <row r="40" spans="7:17">
      <c r="G40" t="s">
        <v>115</v>
      </c>
      <c r="H40" t="s">
        <v>173</v>
      </c>
      <c r="I40" s="20">
        <v>3.38</v>
      </c>
      <c r="J40" s="20">
        <v>5.46</v>
      </c>
      <c r="K40" s="20">
        <v>4.66</v>
      </c>
      <c r="L40" s="20">
        <v>3.78</v>
      </c>
      <c r="M40" s="20">
        <v>3.26</v>
      </c>
      <c r="N40" t="s">
        <v>174</v>
      </c>
      <c r="O40" s="20">
        <v>7.66</v>
      </c>
      <c r="P40" t="s">
        <v>175</v>
      </c>
      <c r="Q40" t="s">
        <v>176</v>
      </c>
    </row>
    <row r="41" spans="7:17">
      <c r="G41" t="s">
        <v>118</v>
      </c>
      <c r="H41" t="s">
        <v>177</v>
      </c>
      <c r="I41" s="20">
        <v>3.99</v>
      </c>
      <c r="J41" s="20">
        <v>5.68</v>
      </c>
      <c r="K41" s="20">
        <v>5.24</v>
      </c>
      <c r="L41" s="20">
        <v>4.25</v>
      </c>
      <c r="M41" s="20">
        <v>3.84</v>
      </c>
      <c r="N41" t="s">
        <v>178</v>
      </c>
      <c r="O41" s="20">
        <v>8.42</v>
      </c>
      <c r="P41" t="s">
        <v>179</v>
      </c>
      <c r="Q41" t="s">
        <v>180</v>
      </c>
    </row>
    <row r="42" spans="7:17">
      <c r="G42" t="s">
        <v>121</v>
      </c>
      <c r="H42" t="s">
        <v>181</v>
      </c>
      <c r="I42" s="20">
        <v>4.3</v>
      </c>
      <c r="J42" s="20">
        <v>5.74</v>
      </c>
      <c r="K42" s="20">
        <v>5.47</v>
      </c>
      <c r="L42" s="20">
        <v>4.32</v>
      </c>
      <c r="M42" s="20">
        <v>4.11</v>
      </c>
      <c r="N42" t="s">
        <v>182</v>
      </c>
      <c r="O42" s="20">
        <v>9.64</v>
      </c>
      <c r="P42" t="s">
        <v>183</v>
      </c>
      <c r="Q42" t="s">
        <v>184</v>
      </c>
    </row>
    <row r="43" spans="7:17">
      <c r="G43" t="s">
        <v>122</v>
      </c>
      <c r="H43" t="s">
        <v>185</v>
      </c>
      <c r="I43" s="20">
        <v>4.77</v>
      </c>
      <c r="J43" s="20">
        <v>7.45</v>
      </c>
      <c r="K43" s="20">
        <v>6.1</v>
      </c>
      <c r="L43" s="20">
        <v>4.91</v>
      </c>
      <c r="M43" s="20">
        <v>4.69</v>
      </c>
      <c r="N43" t="s">
        <v>186</v>
      </c>
      <c r="O43" s="20">
        <v>10.73</v>
      </c>
      <c r="P43" t="s">
        <v>187</v>
      </c>
      <c r="Q43" t="s">
        <v>188</v>
      </c>
    </row>
    <row r="44" spans="7:17">
      <c r="G44" t="s">
        <v>123</v>
      </c>
      <c r="H44" t="s">
        <v>189</v>
      </c>
      <c r="I44" s="20">
        <v>5.35</v>
      </c>
      <c r="J44" s="20">
        <v>7.92</v>
      </c>
      <c r="K44" s="20">
        <v>6.82</v>
      </c>
      <c r="L44" s="20">
        <v>6.02</v>
      </c>
      <c r="M44" s="20">
        <v>4.71</v>
      </c>
      <c r="N44" t="s">
        <v>190</v>
      </c>
      <c r="O44" s="20">
        <v>12.68</v>
      </c>
      <c r="P44" t="s">
        <v>191</v>
      </c>
      <c r="Q44" t="s">
        <v>192</v>
      </c>
    </row>
    <row r="45" spans="7:17">
      <c r="G45" t="s">
        <v>124</v>
      </c>
      <c r="H45" t="s">
        <v>193</v>
      </c>
      <c r="I45" s="20">
        <v>5.52</v>
      </c>
      <c r="J45" s="20">
        <v>7.95</v>
      </c>
      <c r="K45" s="20">
        <v>7.24</v>
      </c>
      <c r="L45" s="20">
        <v>6.2</v>
      </c>
      <c r="M45" s="20">
        <v>4.72</v>
      </c>
      <c r="N45" t="s">
        <v>194</v>
      </c>
      <c r="O45" s="20">
        <v>13.32</v>
      </c>
      <c r="P45" t="s">
        <v>195</v>
      </c>
      <c r="Q45" t="s">
        <v>196</v>
      </c>
    </row>
    <row r="46" spans="7:17">
      <c r="G46" t="s">
        <v>125</v>
      </c>
      <c r="H46" t="s">
        <v>197</v>
      </c>
      <c r="I46" s="20">
        <v>5.95</v>
      </c>
      <c r="J46" s="20">
        <v>8.63</v>
      </c>
      <c r="K46" s="20">
        <v>8.07</v>
      </c>
      <c r="L46" s="20">
        <v>6.52</v>
      </c>
      <c r="M46" s="20">
        <v>4.99</v>
      </c>
      <c r="N46" t="s">
        <v>194</v>
      </c>
      <c r="O46" s="20">
        <v>13.32</v>
      </c>
      <c r="P46" t="s">
        <v>195</v>
      </c>
      <c r="Q46" t="s">
        <v>196</v>
      </c>
    </row>
    <row r="47" spans="7:17">
      <c r="G47" t="s">
        <v>126</v>
      </c>
      <c r="H47" t="s">
        <v>198</v>
      </c>
      <c r="I47" s="20">
        <v>5.95</v>
      </c>
      <c r="J47" s="20">
        <v>8.63</v>
      </c>
      <c r="K47" s="20">
        <v>8.08</v>
      </c>
      <c r="L47" s="20">
        <v>6.64</v>
      </c>
      <c r="M47" s="20">
        <v>5.05</v>
      </c>
      <c r="N47" t="s">
        <v>194</v>
      </c>
      <c r="O47" s="20">
        <v>13.32</v>
      </c>
      <c r="P47" t="s">
        <v>195</v>
      </c>
      <c r="Q47" t="s">
        <v>196</v>
      </c>
    </row>
    <row r="48" spans="7:17">
      <c r="G48" t="s">
        <v>127</v>
      </c>
      <c r="H48" t="s">
        <v>199</v>
      </c>
      <c r="I48" s="20">
        <v>6.11</v>
      </c>
      <c r="J48" s="20">
        <v>9.42</v>
      </c>
      <c r="K48" s="20">
        <v>8.34</v>
      </c>
      <c r="L48" s="20">
        <v>7.12</v>
      </c>
      <c r="M48" s="20">
        <v>5.1</v>
      </c>
      <c r="N48" t="s">
        <v>200</v>
      </c>
      <c r="O48" s="20">
        <v>14.09</v>
      </c>
      <c r="P48" t="s">
        <v>201</v>
      </c>
      <c r="Q48" t="s">
        <v>202</v>
      </c>
    </row>
    <row r="49" spans="7:17">
      <c r="G49" t="s">
        <v>128</v>
      </c>
      <c r="H49" t="s">
        <v>203</v>
      </c>
      <c r="I49" s="20">
        <v>6.11</v>
      </c>
      <c r="J49" s="20">
        <v>9.42</v>
      </c>
      <c r="K49" s="20">
        <v>8.37</v>
      </c>
      <c r="L49" s="20">
        <v>7.12</v>
      </c>
      <c r="M49" s="20">
        <v>5.16</v>
      </c>
      <c r="N49" t="s">
        <v>204</v>
      </c>
      <c r="O49" s="20">
        <v>14.44</v>
      </c>
      <c r="P49" t="s">
        <v>205</v>
      </c>
      <c r="Q49" t="s">
        <v>206</v>
      </c>
    </row>
    <row r="50" spans="7:17">
      <c r="G50" t="s">
        <v>129</v>
      </c>
      <c r="H50" t="s">
        <v>207</v>
      </c>
      <c r="I50" s="20">
        <v>6.39</v>
      </c>
      <c r="J50" s="20">
        <v>9.42</v>
      </c>
      <c r="K50" s="20">
        <v>8.82</v>
      </c>
      <c r="L50" s="20">
        <v>7.12</v>
      </c>
      <c r="M50" s="20">
        <v>5.31</v>
      </c>
      <c r="N50" t="s">
        <v>208</v>
      </c>
      <c r="O50" s="20">
        <v>17.29</v>
      </c>
      <c r="P50" t="s">
        <v>209</v>
      </c>
      <c r="Q50" t="s">
        <v>210</v>
      </c>
    </row>
    <row r="51" spans="7:17">
      <c r="G51" t="s">
        <v>130</v>
      </c>
      <c r="H51" t="s">
        <v>211</v>
      </c>
      <c r="I51" s="20">
        <v>6.4</v>
      </c>
      <c r="J51" s="20">
        <v>9.48</v>
      </c>
      <c r="K51" s="20">
        <v>8.85</v>
      </c>
      <c r="L51" s="20">
        <v>7.12</v>
      </c>
      <c r="M51" s="20">
        <v>5.49</v>
      </c>
      <c r="N51" t="s">
        <v>208</v>
      </c>
      <c r="O51" s="20">
        <v>17.29</v>
      </c>
      <c r="P51" t="s">
        <v>209</v>
      </c>
      <c r="Q51" t="s">
        <v>210</v>
      </c>
    </row>
    <row r="52" spans="7:17">
      <c r="G52" t="s">
        <v>131</v>
      </c>
      <c r="H52" t="s">
        <v>212</v>
      </c>
      <c r="I52" s="20">
        <v>6.61</v>
      </c>
      <c r="J52" s="20">
        <v>9.49</v>
      </c>
      <c r="K52" s="20">
        <v>8.89</v>
      </c>
      <c r="L52" s="20">
        <v>7.13</v>
      </c>
      <c r="M52" s="20">
        <v>5.5</v>
      </c>
      <c r="N52" t="s">
        <v>208</v>
      </c>
      <c r="O52" s="20">
        <v>17.29</v>
      </c>
      <c r="P52" t="s">
        <v>209</v>
      </c>
      <c r="Q52" t="s">
        <v>210</v>
      </c>
    </row>
    <row r="53" spans="7:17">
      <c r="G53" t="s">
        <v>213</v>
      </c>
      <c r="H53" t="s">
        <v>150</v>
      </c>
      <c r="I53" s="20">
        <v>5.65</v>
      </c>
      <c r="J53" s="20">
        <v>8.2</v>
      </c>
      <c r="K53" s="20">
        <v>8</v>
      </c>
      <c r="L53" s="20">
        <v>6.11</v>
      </c>
      <c r="M53" s="20">
        <v>5.53</v>
      </c>
      <c r="N53" t="s">
        <v>214</v>
      </c>
      <c r="O53" s="20">
        <v>12.74</v>
      </c>
      <c r="P53" t="s">
        <v>215</v>
      </c>
      <c r="Q53" t="s">
        <v>216</v>
      </c>
    </row>
    <row r="54" spans="7:17">
      <c r="G54" t="s">
        <v>217</v>
      </c>
      <c r="H54" t="s">
        <v>218</v>
      </c>
      <c r="I54" s="20">
        <v>5.78</v>
      </c>
      <c r="J54" s="20">
        <v>8.49</v>
      </c>
      <c r="K54" s="20">
        <v>8.19</v>
      </c>
      <c r="L54" s="20">
        <v>6.11</v>
      </c>
      <c r="M54" s="20">
        <v>5.65</v>
      </c>
      <c r="N54" t="s">
        <v>219</v>
      </c>
      <c r="O54" s="20">
        <v>13.14</v>
      </c>
      <c r="P54" t="s">
        <v>220</v>
      </c>
      <c r="Q54" t="s">
        <v>221</v>
      </c>
    </row>
    <row r="55" spans="7:17">
      <c r="G55" t="s">
        <v>222</v>
      </c>
      <c r="H55" t="s">
        <v>223</v>
      </c>
      <c r="I55" s="20">
        <v>5.82</v>
      </c>
      <c r="J55" s="20">
        <v>8.59</v>
      </c>
      <c r="K55" s="20">
        <v>8.47</v>
      </c>
      <c r="L55" s="20">
        <v>6.63</v>
      </c>
      <c r="M55" s="20">
        <v>5.7</v>
      </c>
      <c r="N55" t="s">
        <v>224</v>
      </c>
      <c r="O55" s="20">
        <v>13.19</v>
      </c>
      <c r="P55" t="s">
        <v>225</v>
      </c>
      <c r="Q55" t="s">
        <v>226</v>
      </c>
    </row>
    <row r="56" spans="7:17">
      <c r="G56" t="s">
        <v>227</v>
      </c>
      <c r="H56" t="s">
        <v>228</v>
      </c>
      <c r="I56" s="20">
        <v>5.82</v>
      </c>
      <c r="J56" s="20">
        <v>8.59</v>
      </c>
      <c r="K56" s="20">
        <v>8.52</v>
      </c>
      <c r="L56" s="20">
        <v>6.63</v>
      </c>
      <c r="M56" s="20">
        <v>5.7</v>
      </c>
      <c r="N56" t="s">
        <v>229</v>
      </c>
      <c r="O56" s="20">
        <v>13.26</v>
      </c>
      <c r="P56" t="s">
        <v>230</v>
      </c>
      <c r="Q56" t="s">
        <v>231</v>
      </c>
    </row>
    <row r="57" spans="7:17">
      <c r="G57" t="s">
        <v>232</v>
      </c>
      <c r="H57" t="s">
        <v>233</v>
      </c>
      <c r="I57" s="20">
        <v>5.9</v>
      </c>
      <c r="J57" s="20">
        <v>9.16</v>
      </c>
      <c r="K57" s="20">
        <v>8.58</v>
      </c>
      <c r="L57" s="20">
        <v>6.86</v>
      </c>
      <c r="M57" s="20">
        <v>5.78</v>
      </c>
      <c r="N57" t="s">
        <v>234</v>
      </c>
      <c r="O57" s="20">
        <v>13.29</v>
      </c>
      <c r="P57" t="s">
        <v>235</v>
      </c>
      <c r="Q57" t="s">
        <v>236</v>
      </c>
    </row>
    <row r="58" spans="7:17">
      <c r="G58" t="s">
        <v>237</v>
      </c>
      <c r="H58" t="s">
        <v>238</v>
      </c>
      <c r="I58" s="20">
        <v>5.71</v>
      </c>
      <c r="J58" s="20">
        <v>8.21</v>
      </c>
      <c r="K58" s="20">
        <v>8.48</v>
      </c>
      <c r="L58" s="20">
        <v>6.15</v>
      </c>
      <c r="M58" s="20">
        <v>5.53</v>
      </c>
      <c r="N58" t="s">
        <v>239</v>
      </c>
      <c r="O58" s="20">
        <v>14.95</v>
      </c>
      <c r="P58" t="s">
        <v>240</v>
      </c>
      <c r="Q58" t="s">
        <v>241</v>
      </c>
    </row>
    <row r="59" spans="7:17">
      <c r="G59" t="s">
        <v>242</v>
      </c>
      <c r="H59" t="s">
        <v>243</v>
      </c>
      <c r="I59" s="20">
        <v>5.95</v>
      </c>
      <c r="J59" s="20">
        <v>9.28</v>
      </c>
      <c r="K59" s="20">
        <v>8.62</v>
      </c>
      <c r="L59" s="20">
        <v>6.86</v>
      </c>
      <c r="M59" s="20">
        <v>5.78</v>
      </c>
      <c r="N59" t="s">
        <v>244</v>
      </c>
      <c r="O59" s="20">
        <v>15.38</v>
      </c>
      <c r="P59" t="s">
        <v>245</v>
      </c>
      <c r="Q59" t="s">
        <v>246</v>
      </c>
    </row>
    <row r="60" spans="7:17">
      <c r="G60" t="s">
        <v>247</v>
      </c>
      <c r="H60" t="s">
        <v>248</v>
      </c>
      <c r="I60" s="20">
        <v>6.95</v>
      </c>
      <c r="J60" s="20">
        <v>9.75</v>
      </c>
      <c r="K60" s="20">
        <v>8.63</v>
      </c>
      <c r="L60" s="20">
        <v>7.6</v>
      </c>
      <c r="M60" s="20">
        <v>6.74</v>
      </c>
      <c r="N60" t="s">
        <v>249</v>
      </c>
      <c r="O60" s="20">
        <v>16.41</v>
      </c>
      <c r="P60" t="s">
        <v>250</v>
      </c>
      <c r="Q60" t="s">
        <v>251</v>
      </c>
    </row>
    <row r="61" spans="7:17">
      <c r="G61" t="s">
        <v>252</v>
      </c>
      <c r="H61" t="s">
        <v>253</v>
      </c>
      <c r="I61" s="20">
        <v>7.01</v>
      </c>
      <c r="J61" s="20">
        <v>10.16</v>
      </c>
      <c r="K61" s="20">
        <v>9.23</v>
      </c>
      <c r="L61" s="20">
        <v>7.67</v>
      </c>
      <c r="M61" s="20">
        <v>6.78</v>
      </c>
      <c r="N61" t="s">
        <v>254</v>
      </c>
      <c r="O61" s="20">
        <v>16.5</v>
      </c>
      <c r="P61" t="s">
        <v>255</v>
      </c>
      <c r="Q61" t="s">
        <v>256</v>
      </c>
    </row>
    <row r="62" spans="7:17">
      <c r="G62" t="s">
        <v>257</v>
      </c>
      <c r="H62" t="s">
        <v>258</v>
      </c>
      <c r="I62" s="20">
        <v>7.01</v>
      </c>
      <c r="J62" s="20">
        <v>10.22</v>
      </c>
      <c r="K62" s="20">
        <v>9.27</v>
      </c>
      <c r="L62" s="20">
        <v>7.92</v>
      </c>
      <c r="M62" s="20">
        <v>6.78</v>
      </c>
      <c r="N62" t="s">
        <v>259</v>
      </c>
      <c r="O62" s="20">
        <v>16.63</v>
      </c>
      <c r="P62" t="s">
        <v>260</v>
      </c>
      <c r="Q62" t="s">
        <v>261</v>
      </c>
    </row>
    <row r="63" spans="7:17">
      <c r="G63" t="s">
        <v>262</v>
      </c>
      <c r="H63" t="s">
        <v>263</v>
      </c>
      <c r="I63" s="20">
        <v>7.24</v>
      </c>
      <c r="J63" s="20">
        <v>10.83</v>
      </c>
      <c r="K63" s="20">
        <v>10.28</v>
      </c>
      <c r="L63" s="20">
        <v>10.08</v>
      </c>
      <c r="M63" s="20">
        <v>6.79</v>
      </c>
      <c r="N63" t="s">
        <v>264</v>
      </c>
      <c r="O63" s="20">
        <v>18.25</v>
      </c>
      <c r="P63" t="s">
        <v>265</v>
      </c>
      <c r="Q63" t="s">
        <v>266</v>
      </c>
    </row>
    <row r="64" spans="7:17">
      <c r="G64" t="s">
        <v>267</v>
      </c>
      <c r="H64" t="s">
        <v>268</v>
      </c>
      <c r="I64" s="20">
        <v>7.34</v>
      </c>
      <c r="J64" s="20">
        <v>10.95</v>
      </c>
      <c r="K64" s="20">
        <v>10.28</v>
      </c>
      <c r="L64" s="20">
        <v>10.26</v>
      </c>
      <c r="M64" s="20">
        <v>6.82</v>
      </c>
      <c r="N64" t="s">
        <v>269</v>
      </c>
      <c r="O64" s="20">
        <v>18.4</v>
      </c>
      <c r="P64" t="s">
        <v>270</v>
      </c>
      <c r="Q64" t="s">
        <v>271</v>
      </c>
    </row>
    <row r="65" spans="7:17">
      <c r="G65" t="s">
        <v>272</v>
      </c>
      <c r="H65" t="s">
        <v>273</v>
      </c>
      <c r="I65" s="20">
        <v>7.39</v>
      </c>
      <c r="J65" s="20">
        <v>11.01</v>
      </c>
      <c r="K65" s="20">
        <v>10.43</v>
      </c>
      <c r="L65" s="20">
        <v>10.57</v>
      </c>
      <c r="M65" s="20">
        <v>6.85</v>
      </c>
      <c r="N65" t="s">
        <v>269</v>
      </c>
      <c r="O65" s="20">
        <v>18.4</v>
      </c>
      <c r="P65" t="s">
        <v>270</v>
      </c>
      <c r="Q65" t="s">
        <v>271</v>
      </c>
    </row>
    <row r="66" spans="7:17">
      <c r="G66" t="s">
        <v>274</v>
      </c>
      <c r="H66" t="s">
        <v>273</v>
      </c>
      <c r="I66" s="20">
        <v>7.39</v>
      </c>
      <c r="J66" s="20">
        <v>11.01</v>
      </c>
      <c r="K66" s="20">
        <v>10.49</v>
      </c>
      <c r="L66" s="20">
        <v>11.19</v>
      </c>
      <c r="M66" s="20">
        <v>6.88</v>
      </c>
      <c r="N66" t="s">
        <v>269</v>
      </c>
      <c r="O66" s="20">
        <v>18.4</v>
      </c>
      <c r="P66" t="s">
        <v>270</v>
      </c>
      <c r="Q66" t="s">
        <v>271</v>
      </c>
    </row>
    <row r="67" spans="7:17">
      <c r="G67" t="s">
        <v>275</v>
      </c>
      <c r="H67" t="s">
        <v>276</v>
      </c>
      <c r="I67" s="20">
        <v>7.43</v>
      </c>
      <c r="J67" s="20">
        <v>11.06</v>
      </c>
      <c r="K67" s="20">
        <v>10.55</v>
      </c>
      <c r="L67" s="20">
        <v>11.65</v>
      </c>
      <c r="M67" s="20">
        <v>7</v>
      </c>
      <c r="N67" t="s">
        <v>277</v>
      </c>
      <c r="O67" s="20">
        <v>18.82</v>
      </c>
      <c r="P67" t="s">
        <v>278</v>
      </c>
      <c r="Q67" t="s">
        <v>279</v>
      </c>
    </row>
    <row r="68" spans="7:17">
      <c r="G68" t="s">
        <v>280</v>
      </c>
      <c r="H68" t="s">
        <v>281</v>
      </c>
      <c r="I68" s="20">
        <v>8.05</v>
      </c>
      <c r="J68" s="20">
        <v>11.82</v>
      </c>
      <c r="K68" s="20">
        <v>11.69</v>
      </c>
      <c r="L68" s="20">
        <v>12.54</v>
      </c>
      <c r="M68" s="20">
        <v>7.06</v>
      </c>
      <c r="N68" t="s">
        <v>282</v>
      </c>
      <c r="O68" s="20">
        <v>19.95</v>
      </c>
      <c r="P68" t="s">
        <v>283</v>
      </c>
      <c r="Q68" t="s">
        <v>284</v>
      </c>
    </row>
    <row r="69" spans="7:17">
      <c r="G69" t="s">
        <v>285</v>
      </c>
      <c r="H69" t="s">
        <v>286</v>
      </c>
      <c r="I69" s="20">
        <v>8.56</v>
      </c>
      <c r="J69" s="20">
        <v>12.43</v>
      </c>
      <c r="K69" s="20">
        <v>12.05</v>
      </c>
      <c r="L69" s="20">
        <v>13.61</v>
      </c>
      <c r="M69" s="20">
        <v>7.06</v>
      </c>
      <c r="N69" t="s">
        <v>287</v>
      </c>
      <c r="O69" s="20">
        <v>21.71</v>
      </c>
      <c r="P69" t="s">
        <v>288</v>
      </c>
      <c r="Q69" t="s">
        <v>289</v>
      </c>
    </row>
    <row r="70" spans="7:17">
      <c r="G70" t="s">
        <v>290</v>
      </c>
      <c r="H70" t="s">
        <v>291</v>
      </c>
      <c r="I70" s="20">
        <v>9.7</v>
      </c>
      <c r="J70" s="20">
        <v>12.43</v>
      </c>
      <c r="K70" s="20">
        <v>12.82</v>
      </c>
      <c r="L70" s="20">
        <v>13.61</v>
      </c>
      <c r="M70" s="20">
        <v>7.06</v>
      </c>
      <c r="N70" t="s">
        <v>292</v>
      </c>
      <c r="O70" s="20">
        <v>23.27</v>
      </c>
      <c r="P70" t="s">
        <v>293</v>
      </c>
      <c r="Q70" t="s">
        <v>294</v>
      </c>
    </row>
    <row r="71" spans="7:17">
      <c r="G71" t="s">
        <v>295</v>
      </c>
      <c r="H71" t="s">
        <v>291</v>
      </c>
      <c r="I71" s="20">
        <v>9.7</v>
      </c>
      <c r="J71" s="20">
        <v>13.84</v>
      </c>
      <c r="K71" s="20">
        <v>13.46</v>
      </c>
      <c r="L71" s="20">
        <v>15.12</v>
      </c>
      <c r="M71" s="20">
        <v>7.06</v>
      </c>
      <c r="N71" t="s">
        <v>296</v>
      </c>
      <c r="O71" s="20">
        <v>23.62</v>
      </c>
      <c r="P71" t="s">
        <v>297</v>
      </c>
      <c r="Q71" t="s">
        <v>298</v>
      </c>
    </row>
    <row r="72" spans="7:17">
      <c r="G72" t="s">
        <v>299</v>
      </c>
      <c r="H72" t="s">
        <v>300</v>
      </c>
      <c r="I72" s="20">
        <v>8.18</v>
      </c>
      <c r="J72" s="20">
        <v>15.09</v>
      </c>
      <c r="K72" s="20">
        <v>9.39</v>
      </c>
      <c r="L72" s="20">
        <v>9.11</v>
      </c>
      <c r="M72" s="20">
        <v>7.38</v>
      </c>
      <c r="N72" t="s">
        <v>301</v>
      </c>
      <c r="O72" s="20">
        <v>23.1</v>
      </c>
      <c r="P72" t="s">
        <v>302</v>
      </c>
      <c r="Q72" t="s">
        <v>303</v>
      </c>
    </row>
    <row r="73" spans="7:17">
      <c r="G73" t="s">
        <v>304</v>
      </c>
      <c r="H73" t="s">
        <v>305</v>
      </c>
      <c r="I73" s="20">
        <v>9.44</v>
      </c>
      <c r="J73" s="20">
        <v>18.3</v>
      </c>
      <c r="K73" s="20">
        <v>10.69</v>
      </c>
      <c r="L73" s="20">
        <v>13.4</v>
      </c>
      <c r="M73" s="20">
        <v>8.51</v>
      </c>
      <c r="N73" t="s">
        <v>306</v>
      </c>
      <c r="O73" s="20">
        <v>27.66</v>
      </c>
      <c r="P73" t="s">
        <v>307</v>
      </c>
      <c r="Q73" t="s">
        <v>308</v>
      </c>
    </row>
    <row r="74" spans="7:17">
      <c r="G74" t="s">
        <v>309</v>
      </c>
      <c r="H74" t="s">
        <v>310</v>
      </c>
      <c r="I74" s="20">
        <v>10.09</v>
      </c>
      <c r="J74" s="20">
        <v>19.37</v>
      </c>
      <c r="K74" s="20">
        <v>11.78</v>
      </c>
      <c r="L74" s="20">
        <v>14.48</v>
      </c>
      <c r="M74" s="20">
        <v>9.11</v>
      </c>
      <c r="N74" t="s">
        <v>311</v>
      </c>
      <c r="O74" s="20">
        <v>29.4</v>
      </c>
      <c r="P74" t="s">
        <v>312</v>
      </c>
      <c r="Q74" t="s">
        <v>313</v>
      </c>
    </row>
    <row r="75" spans="7:17">
      <c r="G75" t="s">
        <v>314</v>
      </c>
      <c r="H75" t="s">
        <v>315</v>
      </c>
      <c r="I75" s="20">
        <v>10.67</v>
      </c>
      <c r="J75" s="20">
        <v>20.32</v>
      </c>
      <c r="K75" s="20">
        <v>12.16</v>
      </c>
      <c r="L75" s="20">
        <v>15.65</v>
      </c>
      <c r="M75" s="20">
        <v>9.63</v>
      </c>
      <c r="N75" t="s">
        <v>316</v>
      </c>
      <c r="O75" s="20">
        <v>32.42</v>
      </c>
      <c r="P75" t="s">
        <v>317</v>
      </c>
      <c r="Q75" t="s">
        <v>318</v>
      </c>
    </row>
    <row r="76" spans="7:17">
      <c r="G76" t="s">
        <v>319</v>
      </c>
      <c r="H76" t="s">
        <v>320</v>
      </c>
      <c r="I76" s="20">
        <v>11.81</v>
      </c>
      <c r="J76" s="20">
        <v>22.21</v>
      </c>
      <c r="K76" s="20">
        <v>13.64</v>
      </c>
      <c r="L76" s="20">
        <v>16.97</v>
      </c>
      <c r="M76" s="20">
        <v>10.66</v>
      </c>
      <c r="N76" t="s">
        <v>321</v>
      </c>
      <c r="O76" s="20">
        <v>35.18</v>
      </c>
      <c r="P76" t="s">
        <v>322</v>
      </c>
      <c r="Q76" t="s">
        <v>323</v>
      </c>
    </row>
    <row r="77" spans="7:17">
      <c r="G77" t="s">
        <v>324</v>
      </c>
      <c r="H77" t="s">
        <v>325</v>
      </c>
      <c r="I77" s="20">
        <v>11.84</v>
      </c>
      <c r="J77" s="20">
        <v>22.74</v>
      </c>
      <c r="K77" s="20">
        <v>13.73</v>
      </c>
      <c r="L77" s="20">
        <v>19.45</v>
      </c>
      <c r="M77" s="20">
        <v>10.68</v>
      </c>
      <c r="N77" t="s">
        <v>321</v>
      </c>
      <c r="O77" s="20">
        <v>35.18</v>
      </c>
      <c r="P77" t="s">
        <v>322</v>
      </c>
      <c r="Q77" t="s">
        <v>323</v>
      </c>
    </row>
  </sheetData>
  <sheetProtection selectLockedCells="1" selectUnlockedCells="1"/>
  <mergeCells count="4">
    <mergeCell ref="G1:S1"/>
    <mergeCell ref="W1:AB1"/>
    <mergeCell ref="J2:P2"/>
    <mergeCell ref="W3:AB3"/>
  </mergeCells>
  <pageMargins left="0.75" right="0.75" top="1" bottom="1" header="0.5" footer="0.5"/>
  <pageSetup paperSize="9" orientation="portrait"/>
  <headerFooter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A29" sqref="A29"/>
    </sheetView>
  </sheetViews>
  <sheetFormatPr defaultColWidth="9" defaultRowHeight="13.5" outlineLevelCol="7"/>
  <cols>
    <col min="1" max="1" width="81" customWidth="1"/>
    <col min="2" max="6" width="11" customWidth="1"/>
    <col min="7" max="7" width="21.625" customWidth="1"/>
    <col min="8" max="8" width="40.125" customWidth="1"/>
  </cols>
  <sheetData>
    <row r="1" spans="1:1">
      <c r="A1" t="s">
        <v>326</v>
      </c>
    </row>
    <row r="2" spans="1:1">
      <c r="A2" t="s">
        <v>327</v>
      </c>
    </row>
    <row r="3" spans="1:1">
      <c r="A3" t="s">
        <v>328</v>
      </c>
    </row>
    <row r="4" spans="1:1">
      <c r="A4" t="s">
        <v>329</v>
      </c>
    </row>
    <row r="5" spans="1:1">
      <c r="A5" t="s">
        <v>330</v>
      </c>
    </row>
    <row r="6" spans="1:1">
      <c r="A6" t="s">
        <v>331</v>
      </c>
    </row>
    <row r="7" spans="1:1">
      <c r="A7" t="s">
        <v>332</v>
      </c>
    </row>
    <row r="8" spans="1:8">
      <c r="A8" t="s">
        <v>333</v>
      </c>
      <c r="C8" t="s">
        <v>334</v>
      </c>
      <c r="E8" t="s">
        <v>335</v>
      </c>
      <c r="H8" t="s">
        <v>336</v>
      </c>
    </row>
    <row r="9" spans="1:8">
      <c r="A9" t="s">
        <v>337</v>
      </c>
      <c r="B9" t="s">
        <v>338</v>
      </c>
      <c r="C9" t="s">
        <v>339</v>
      </c>
      <c r="D9" t="s">
        <v>340</v>
      </c>
      <c r="E9" t="s">
        <v>341</v>
      </c>
      <c r="F9" t="s">
        <v>342</v>
      </c>
      <c r="G9" t="s">
        <v>343</v>
      </c>
      <c r="H9" t="s">
        <v>344</v>
      </c>
    </row>
    <row r="10" spans="1:8">
      <c r="A10" t="s">
        <v>345</v>
      </c>
      <c r="C10">
        <v>169</v>
      </c>
      <c r="E10">
        <v>181.56</v>
      </c>
      <c r="F10">
        <v>175.04</v>
      </c>
      <c r="G10" t="s">
        <v>346</v>
      </c>
      <c r="H10" s="1">
        <v>0.4375</v>
      </c>
    </row>
    <row r="11" spans="1:8">
      <c r="A11" t="s">
        <v>347</v>
      </c>
      <c r="B11">
        <v>495.64</v>
      </c>
      <c r="C11">
        <v>480.24</v>
      </c>
      <c r="D11">
        <v>499.28</v>
      </c>
      <c r="E11">
        <v>501.5</v>
      </c>
      <c r="F11">
        <v>499.75</v>
      </c>
      <c r="G11" t="s">
        <v>346</v>
      </c>
      <c r="H11" s="1">
        <v>0.4375</v>
      </c>
    </row>
    <row r="12" spans="1:8">
      <c r="A12" t="s">
        <v>348</v>
      </c>
      <c r="C12">
        <v>115.97</v>
      </c>
      <c r="E12">
        <v>131.67</v>
      </c>
      <c r="F12">
        <v>121.8</v>
      </c>
      <c r="G12" t="s">
        <v>346</v>
      </c>
      <c r="H12" s="1">
        <v>0.4375</v>
      </c>
    </row>
    <row r="13" spans="1:8">
      <c r="A13" t="s">
        <v>349</v>
      </c>
      <c r="B13">
        <v>531.36</v>
      </c>
      <c r="C13">
        <v>514.58</v>
      </c>
      <c r="D13">
        <v>535.28</v>
      </c>
      <c r="E13">
        <v>537.64</v>
      </c>
      <c r="F13">
        <v>532.99</v>
      </c>
      <c r="G13" t="s">
        <v>346</v>
      </c>
      <c r="H13" s="1">
        <v>0.4375</v>
      </c>
    </row>
    <row r="14" spans="1:8">
      <c r="A14" t="s">
        <v>350</v>
      </c>
      <c r="B14">
        <v>713.94</v>
      </c>
      <c r="C14">
        <v>691.91</v>
      </c>
      <c r="D14">
        <v>718.96</v>
      </c>
      <c r="E14">
        <v>722.04</v>
      </c>
      <c r="F14">
        <v>716.41</v>
      </c>
      <c r="G14" t="s">
        <v>346</v>
      </c>
      <c r="H14" s="1">
        <v>0.4375</v>
      </c>
    </row>
    <row r="15" spans="1:8">
      <c r="A15" t="s">
        <v>351</v>
      </c>
      <c r="B15">
        <v>104.93</v>
      </c>
      <c r="C15">
        <v>101.69</v>
      </c>
      <c r="D15">
        <v>105.77</v>
      </c>
      <c r="E15">
        <v>106.28</v>
      </c>
      <c r="F15">
        <v>105.73</v>
      </c>
      <c r="G15" t="s">
        <v>346</v>
      </c>
      <c r="H15" s="1">
        <v>0.4375</v>
      </c>
    </row>
    <row r="16" spans="1:8">
      <c r="A16" t="s">
        <v>352</v>
      </c>
      <c r="B16">
        <v>780.91</v>
      </c>
      <c r="C16">
        <v>756.65</v>
      </c>
      <c r="D16">
        <v>786.67</v>
      </c>
      <c r="E16">
        <v>789.2</v>
      </c>
      <c r="F16">
        <v>786.15</v>
      </c>
      <c r="G16" t="s">
        <v>346</v>
      </c>
      <c r="H16" s="1">
        <v>0.4375</v>
      </c>
    </row>
    <row r="17" spans="1:8">
      <c r="A17" t="s">
        <v>353</v>
      </c>
      <c r="B17">
        <v>907.22</v>
      </c>
      <c r="C17">
        <v>879.04</v>
      </c>
      <c r="D17">
        <v>913.91</v>
      </c>
      <c r="E17">
        <v>917.95</v>
      </c>
      <c r="F17">
        <v>912.04</v>
      </c>
      <c r="G17" t="s">
        <v>346</v>
      </c>
      <c r="H17" s="1">
        <v>0.4375</v>
      </c>
    </row>
    <row r="18" spans="1:8">
      <c r="A18" t="s">
        <v>354</v>
      </c>
      <c r="B18">
        <v>82.7</v>
      </c>
      <c r="C18">
        <v>82.04</v>
      </c>
      <c r="D18">
        <v>83.03</v>
      </c>
      <c r="E18">
        <v>83.03</v>
      </c>
      <c r="F18">
        <v>82.83</v>
      </c>
      <c r="G18" t="s">
        <v>346</v>
      </c>
      <c r="H18" s="1">
        <v>0.4375</v>
      </c>
    </row>
    <row r="19" spans="1:8">
      <c r="A19" t="s">
        <v>355</v>
      </c>
      <c r="C19">
        <v>0.0432</v>
      </c>
      <c r="E19">
        <v>0.0467</v>
      </c>
      <c r="F19">
        <v>0.0448</v>
      </c>
      <c r="G19" t="s">
        <v>346</v>
      </c>
      <c r="H19" s="1">
        <v>0.4375</v>
      </c>
    </row>
    <row r="20" spans="1:8">
      <c r="A20" t="s">
        <v>356</v>
      </c>
      <c r="C20">
        <v>8.3032</v>
      </c>
      <c r="E20">
        <v>9.3632</v>
      </c>
      <c r="F20">
        <v>8.811</v>
      </c>
      <c r="G20" t="s">
        <v>346</v>
      </c>
      <c r="H20" s="1">
        <v>0.4375</v>
      </c>
    </row>
    <row r="21" spans="1:8">
      <c r="A21" t="s">
        <v>357</v>
      </c>
      <c r="B21">
        <v>5.8846</v>
      </c>
      <c r="C21">
        <v>5.7018</v>
      </c>
      <c r="D21">
        <v>5.9279</v>
      </c>
      <c r="E21">
        <v>5.9371</v>
      </c>
      <c r="F21">
        <v>5.9075</v>
      </c>
      <c r="G21" t="s">
        <v>346</v>
      </c>
      <c r="H21" s="1">
        <v>0.4375</v>
      </c>
    </row>
    <row r="22" spans="1:8">
      <c r="A22" t="s">
        <v>358</v>
      </c>
      <c r="B22">
        <v>0.5681</v>
      </c>
      <c r="C22">
        <v>0.5482</v>
      </c>
      <c r="D22">
        <v>0.5727</v>
      </c>
      <c r="E22">
        <v>0.5937</v>
      </c>
      <c r="F22">
        <v>0.5703</v>
      </c>
      <c r="G22" t="s">
        <v>346</v>
      </c>
      <c r="H22" s="1">
        <v>0.4375</v>
      </c>
    </row>
    <row r="23" spans="1:8">
      <c r="A23" t="s">
        <v>359</v>
      </c>
      <c r="B23">
        <v>80.38</v>
      </c>
      <c r="C23">
        <v>77.68</v>
      </c>
      <c r="D23">
        <v>80.7</v>
      </c>
      <c r="E23">
        <v>83.39</v>
      </c>
      <c r="F23">
        <v>80.5</v>
      </c>
      <c r="G23" t="s">
        <v>346</v>
      </c>
      <c r="H23" s="1">
        <v>0.4375</v>
      </c>
    </row>
    <row r="24" spans="1:8">
      <c r="A24" t="s">
        <v>360</v>
      </c>
      <c r="B24">
        <v>154.92</v>
      </c>
      <c r="D24">
        <v>156.32</v>
      </c>
      <c r="F24">
        <v>155.15</v>
      </c>
      <c r="G24" t="s">
        <v>346</v>
      </c>
      <c r="H24" s="1">
        <v>0.4375</v>
      </c>
    </row>
    <row r="25" spans="1:8">
      <c r="A25" t="s">
        <v>361</v>
      </c>
      <c r="B25">
        <v>76.42</v>
      </c>
      <c r="C25">
        <v>74.06</v>
      </c>
      <c r="D25">
        <v>77.04</v>
      </c>
      <c r="E25">
        <v>77.41</v>
      </c>
      <c r="F25">
        <v>77.47</v>
      </c>
      <c r="G25" t="s">
        <v>346</v>
      </c>
      <c r="H25" s="1">
        <v>0.4375</v>
      </c>
    </row>
    <row r="26" spans="1:8">
      <c r="A26" t="s">
        <v>362</v>
      </c>
      <c r="B26">
        <v>459.12</v>
      </c>
      <c r="C26">
        <v>444.95</v>
      </c>
      <c r="D26">
        <v>462.34</v>
      </c>
      <c r="E26">
        <v>468.7</v>
      </c>
      <c r="F26">
        <v>462.73</v>
      </c>
      <c r="G26" t="s">
        <v>346</v>
      </c>
      <c r="H26" s="1">
        <v>0.4375</v>
      </c>
    </row>
    <row r="27" spans="1:8">
      <c r="A27" t="s">
        <v>363</v>
      </c>
      <c r="B27">
        <v>13.34</v>
      </c>
      <c r="C27">
        <v>12.88</v>
      </c>
      <c r="D27">
        <v>13.5</v>
      </c>
      <c r="E27">
        <v>14.1</v>
      </c>
      <c r="F27">
        <v>13.45</v>
      </c>
      <c r="G27" t="s">
        <v>346</v>
      </c>
      <c r="H27" s="1">
        <v>0.4375</v>
      </c>
    </row>
    <row r="28" spans="1:8">
      <c r="A28" t="s">
        <v>364</v>
      </c>
      <c r="B28">
        <v>8.71</v>
      </c>
      <c r="C28">
        <v>8.17</v>
      </c>
      <c r="D28">
        <v>8.77</v>
      </c>
      <c r="E28">
        <v>9.11</v>
      </c>
      <c r="F28">
        <v>8.75</v>
      </c>
      <c r="G28" t="s">
        <v>346</v>
      </c>
      <c r="H28" s="1">
        <v>0.4375</v>
      </c>
    </row>
    <row r="29" spans="1:8">
      <c r="A29" t="s">
        <v>365</v>
      </c>
      <c r="C29">
        <v>166.77</v>
      </c>
      <c r="E29">
        <v>176.31</v>
      </c>
      <c r="F29">
        <v>171.44</v>
      </c>
      <c r="G29" t="s">
        <v>346</v>
      </c>
      <c r="H29" s="1">
        <v>0.4375</v>
      </c>
    </row>
    <row r="30" spans="1:8">
      <c r="A30" t="s">
        <v>366</v>
      </c>
      <c r="B30">
        <v>76.93</v>
      </c>
      <c r="C30">
        <v>74.56</v>
      </c>
      <c r="D30">
        <v>77.55</v>
      </c>
      <c r="E30">
        <v>77.92</v>
      </c>
      <c r="F30">
        <v>77.44</v>
      </c>
      <c r="G30" t="s">
        <v>346</v>
      </c>
      <c r="H30" s="1">
        <v>0.4375</v>
      </c>
    </row>
    <row r="31" spans="1:8">
      <c r="A31" t="s">
        <v>367</v>
      </c>
      <c r="B31">
        <v>481.2</v>
      </c>
      <c r="C31">
        <v>466.35</v>
      </c>
      <c r="D31">
        <v>484.58</v>
      </c>
      <c r="E31">
        <v>486.99</v>
      </c>
      <c r="F31">
        <v>483.22</v>
      </c>
      <c r="G31" t="s">
        <v>346</v>
      </c>
      <c r="H31" s="1">
        <v>0.4375</v>
      </c>
    </row>
    <row r="32" spans="1:8">
      <c r="A32" t="s">
        <v>368</v>
      </c>
      <c r="B32">
        <v>20.41</v>
      </c>
      <c r="C32">
        <v>19.78</v>
      </c>
      <c r="D32">
        <v>20.57</v>
      </c>
      <c r="E32">
        <v>21.22</v>
      </c>
      <c r="F32">
        <v>20.5</v>
      </c>
      <c r="G32" t="s">
        <v>346</v>
      </c>
      <c r="H32" s="1">
        <v>0.4375</v>
      </c>
    </row>
    <row r="33" spans="1:8">
      <c r="A33" t="s">
        <v>369</v>
      </c>
      <c r="B33">
        <v>76.44</v>
      </c>
      <c r="C33">
        <v>72.7</v>
      </c>
      <c r="D33">
        <v>77.06</v>
      </c>
      <c r="E33">
        <v>88.48</v>
      </c>
      <c r="F33">
        <v>76.71</v>
      </c>
      <c r="G33" t="s">
        <v>346</v>
      </c>
      <c r="H33" s="1">
        <v>0.4375</v>
      </c>
    </row>
    <row r="34" spans="1:8">
      <c r="A34" t="s">
        <v>370</v>
      </c>
      <c r="C34">
        <v>22.2</v>
      </c>
      <c r="E34">
        <v>24.05</v>
      </c>
      <c r="F34">
        <v>23.07</v>
      </c>
      <c r="G34" t="s">
        <v>346</v>
      </c>
      <c r="H34" s="1">
        <v>0.4375</v>
      </c>
    </row>
    <row r="35" spans="1:8">
      <c r="A35" t="s">
        <v>371</v>
      </c>
      <c r="B35">
        <v>642.09</v>
      </c>
      <c r="C35">
        <v>636.87</v>
      </c>
      <c r="D35">
        <v>644.81</v>
      </c>
      <c r="E35">
        <v>644.81</v>
      </c>
      <c r="F35">
        <v>643</v>
      </c>
      <c r="G35" t="s">
        <v>346</v>
      </c>
      <c r="H35" s="1">
        <v>0.4375</v>
      </c>
    </row>
    <row r="36" spans="1:8">
      <c r="A36" t="s">
        <v>372</v>
      </c>
      <c r="B36">
        <v>45.97</v>
      </c>
      <c r="C36">
        <v>42.44</v>
      </c>
      <c r="D36">
        <v>46.29</v>
      </c>
      <c r="E36">
        <v>49.9</v>
      </c>
      <c r="F36">
        <v>45.99</v>
      </c>
      <c r="G36" t="s">
        <v>346</v>
      </c>
      <c r="H36" s="1">
        <v>0.4375</v>
      </c>
    </row>
    <row r="37" spans="1:1">
      <c r="A37" t="s">
        <v>373</v>
      </c>
    </row>
    <row r="38" spans="1:1">
      <c r="A38" t="s">
        <v>374</v>
      </c>
    </row>
    <row r="39" spans="1:1">
      <c r="A39" t="s">
        <v>375</v>
      </c>
    </row>
    <row r="40" spans="1:1">
      <c r="A40" t="s">
        <v>376</v>
      </c>
    </row>
    <row r="41" spans="1:1">
      <c r="A41" t="s">
        <v>377</v>
      </c>
    </row>
    <row r="42" spans="1:1">
      <c r="A42" t="s">
        <v>378</v>
      </c>
    </row>
  </sheetData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="https://web.wps.cn/et/2018/main" xmlns:s="http://schemas.openxmlformats.org/spreadsheetml/2006/main">
  <commentList sheetStid="1">
    <commentChains s:ref="C19" rgbClr="FF0000">
      <unresolved>
        <commentChain chainId="fe9f37d52b07e5490e10990d428445dd940acfd0">
          <item id="44e7bd228fd2f5326c3aa15ef68d24ef58f320f8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28" rgbClr="8FC474">
      <unresolved>
        <commentChain chainId="643211e6065c108c6316ae1d897f726750dd7007">
          <item id="524ad739e4ac1c425e79fc2af0a8fdad455aea39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37" rgbClr="8FC474">
      <unresolved>
        <commentChain chainId="952ad8d714eb585e5dcc13d2c8ffcd2c9e8b683e">
          <item id="5ad03bfcf825300a89a06349a0f8b6397f2aab90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46" rgbClr="8FC474">
      <unresolved>
        <commentChain chainId="9150a65d607df2ff3a7ae9bd004a499af9693f4a">
          <item id="e8d36c055688377b3cc4ee92af4bfb5e6f102dc7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55" rgbClr="8FC474">
      <unresolved>
        <commentChain chainId="687a4e95611244768fde9faf1ab6dc68f5d10e8e">
          <item id="1d81fc5f52320f0cec115cd519134c87b7041c80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64" rgbClr="8FC474">
      <unresolved>
        <commentChain chainId="1f1bd0773f7aeaf365f43cd9e287b65c218f9cfc">
          <item id="17a215d0144a04138b4346fd267f6f624429abf7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73" rgbClr="8FC474">
      <unresolved>
        <commentChain chainId="a5f432da82065edbb9961f5065e2652d2484f8a1">
          <item id="d2e80918c0c9ff2e0c97d91b13c01e1a0a71080e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82" rgbClr="8FC474">
      <unresolved>
        <commentChain chainId="f48ba36942ae7456fbee6030933e4f956c69be4e">
          <item id="cd82ba9d7c5353ef0972f82a169c2b7652a13f79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91" rgbClr="8FC474">
      <unresolved>
        <commentChain chainId="f985b0b448a77bb3d52ce4cffc8f4c9fde4c9d3f">
          <item id="e86810312779defa7c17d943a134a51f055c99de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00" rgbClr="8FC474">
      <unresolved>
        <commentChain chainId="9fe60a547da85da9e4b3466c7c96dee7970d16d6">
          <item id="bfbc4813bdfdfd26edf18254747ac85e8694bb94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09" rgbClr="8FC474">
      <unresolved>
        <commentChain chainId="ea3c33ee55701543db3035fe6e0df0287fd4be3b">
          <item id="05270fa3b8a3c3b438e241874674f6b6a799e5a8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18" rgbClr="8FC474">
      <unresolved>
        <commentChain chainId="13c20734d0413d757c3641e5cf9bb3146fb9e746">
          <item id="852573f9364142b02ce412d88824e10a38d3e284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27" rgbClr="8FC474">
      <unresolved>
        <commentChain chainId="9c48468023bfc2fe4560830a9dd6a1c1c584227e">
          <item id="dd3b0ddc5f2d458bc6cf91e662fda8c44df6fe2a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36" rgbClr="8FC474">
      <unresolved>
        <commentChain chainId="cd6a6b034c895201090dbfe851066b7b41087eaf">
          <item id="23f75269f40b989cfe0174b8379ad79dba214d83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45" rgbClr="8FC474">
      <unresolved>
        <commentChain chainId="a002b8d5bf18fe4c62efcef8fa5bed7b17872329">
          <item id="81223ccc35a1ce68398dcfd55ba5c40f5f01a197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54" rgbClr="8FC474">
      <unresolved>
        <commentChain chainId="4b7715cfad92c30e51368e9d45eadfca17a17056">
          <item id="1da79089cc60def36bc5168b814d917fbea424ec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63" rgbClr="8FC474">
      <unresolved>
        <commentChain chainId="8a598050693fca47b8e77ae559723aa77a0c9471">
          <item id="9dcc176423ba4eedccf90e212b738226b5473459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72" rgbClr="8FC474">
      <unresolved>
        <commentChain chainId="6b9b67886adf3debd81b188313aa4add3d207670">
          <item id="648e213573c2948f50ccdb521a46fad6d4930d79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81" rgbClr="8FC474">
      <unresolved>
        <commentChain chainId="054df2ab0e6d0c4f4f71bc7bb61add078a7b9393">
          <item id="af86a21f07c32efbd749ece1dfc6f6237d6cbb0a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90" rgbClr="8FC474">
      <unresolved>
        <commentChain chainId="85bffb307cbccf72939d8853b304c5e6ae69d197">
          <item id="36a8021a9f073dca6923cd68a623bfad338529f9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199" rgbClr="8FC474">
      <unresolved>
        <commentChain chainId="01c94a925a5c849e5c734c2e6845e3b84992d72b">
          <item id="2ab0617a08db0379b29bf78ae060fe8180ee0531" isNormal="1">
            <s:text>
              <s:r>
                <s:t xml:space="preserve">hexi065:
土耳其</s:t>
              </s:r>
            </s:text>
          </item>
        </commentChain>
      </unresolved>
      <resolved/>
    </commentChains>
    <commentChains s:ref="C208" rgbClr="8FC474">
      <unresolved>
        <commentChain chainId="49be2a207d859b76510961ad593cce7c36c96675">
          <item id="3eeb2691f0faa5c8933ece28d79774a0ab701173" isNormal="1">
            <s:text>
              <s:r>
                <s:t xml:space="preserve">hexi065:
土耳其</s:t>
              </s:r>
            </s:text>
          </item>
        </commentChain>
      </unresolved>
      <resolved/>
    </commentChains>
  </commentList>
  <commentList sheetStid="11">
    <commentChains s:ref="C19" rgbClr="FF0000">
      <unresolved>
        <commentChain chainId="6cf8490f07cb7c0f7206a8153e145f4677399a40">
          <item id="77803f1ce30e00af2fd0453fdec2ca706204b985" isNormal="1">
            <s:text>
              <s:r>
                <s:t xml:space="preserve">hexi065:
土耳其</s:t>
              </s:r>
            </s:text>
          </item>
        </commentChain>
      </unresolved>
      <resolved/>
    </commentChains>
  </commentList>
</comment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11"/>
  <pixelatorList sheetStid="2"/>
  <pixelatorList sheetStid="8"/>
  <pixelatorList sheetStid="1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WWO_wpscloud_20240524161543-1bcfb6ecf4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198</cp:lastModifiedBy>
  <dcterms:created xsi:type="dcterms:W3CDTF">2020-02-07T15:40:00Z</dcterms:created>
  <cp:lastPrinted>2020-04-24T14:31:00Z</cp:lastPrinted>
  <dcterms:modified xsi:type="dcterms:W3CDTF">2022-04-26T11:30:00Z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KSOReadingLayout">
    <vt:bool>true</vt:bool>
  </property>
  <property fmtid="{D5CDD505-2E9C-101B-9397-08002B2CF9AE}" pid="4" name="ICV">
    <vt:lpwstr>9AA82BA4153C4E08A24CAE5493D73B56</vt:lpwstr>
  </property>
</Properties>
</file>